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prbgob-my.sharepoint.com/personal/pverhaeghe_gob_brussels/Documents/DPI/BH159 Indexering/Gepubliceerde versies/"/>
    </mc:Choice>
  </mc:AlternateContent>
  <xr:revisionPtr revIDLastSave="11" documentId="8_{CB85A5D8-2D6B-4C5D-A170-7BFB2BDEF008}" xr6:coauthVersionLast="47" xr6:coauthVersionMax="47" xr10:uidLastSave="{722BE025-630D-4A0E-AD98-DB363FDD5DEC}"/>
  <workbookProtection workbookAlgorithmName="SHA-512" workbookHashValue="jWd2AVrjuRzVHdBK+bZxc4uNW/uZzipst/qxpL4RP4kRhKBMxSnruDMrqoJpIe51r4s5QsKMlk/KW+Q0UgZcew==" workbookSaltValue="hxiQ1bXOecTxaZNJ1COHeQ==" workbookSpinCount="100000" lockStructure="1"/>
  <bookViews>
    <workbookView xWindow="3276" yWindow="3276" windowWidth="17304" windowHeight="8892" tabRatio="656" xr2:uid="{2A93C725-902A-4254-A474-6B78FDAE23AC}"/>
  </bookViews>
  <sheets>
    <sheet name="Index" sheetId="2" r:id="rId1"/>
    <sheet name="000" sheetId="23" state="hidden" r:id="rId2"/>
    <sheet name="Taal" sheetId="7" state="hidden" r:id="rId3"/>
    <sheet name="indices" sheetId="22" state="hidden" r:id="rId4"/>
  </sheets>
  <definedNames>
    <definedName name="Basishuurprijs">Index!$G$19</definedName>
    <definedName name="Basisindex">Index!$G$20</definedName>
    <definedName name="Codecorrectie">'000'!$D$7</definedName>
    <definedName name="Contractdatum">Index!$AE$9</definedName>
    <definedName name="Correctiefactor">Index!$G$22</definedName>
    <definedName name="CorrectiefactorUsed">Index!$AE$8</definedName>
    <definedName name="Energieklasse">Index!$AG$16</definedName>
    <definedName name="Energieklasse2">Index!$AG$16</definedName>
    <definedName name="EPBDat1">Index!$G$15</definedName>
    <definedName name="EPBDatOnbekend">Index!$J$15</definedName>
    <definedName name="EPBDatum">Index!$AE$15</definedName>
    <definedName name="EPBVoorgelegd">Index!$AC$14</definedName>
    <definedName name="FN">Index!$H$4</definedName>
    <definedName name="GeenIndexatie">Index!$AC$11</definedName>
    <definedName name="Index001">'000'!$D$2</definedName>
    <definedName name="Index002">'000'!$D$3</definedName>
    <definedName name="Index003">'000'!$D$4</definedName>
    <definedName name="Index004">'000'!$D$5</definedName>
    <definedName name="Index005">'000'!$D$6</definedName>
    <definedName name="Index006">'000'!$D$7</definedName>
    <definedName name="Index007">'000'!$D$8</definedName>
    <definedName name="Index008">'000'!$D$9</definedName>
    <definedName name="Index009">'000'!$D$10</definedName>
    <definedName name="Index010">'000'!$D$11</definedName>
    <definedName name="Index011">'000'!$D$12</definedName>
    <definedName name="Index012">'000'!$D$13</definedName>
    <definedName name="Index013">'000'!$D$14</definedName>
    <definedName name="Index014">'000'!$D$15</definedName>
    <definedName name="Index015">'000'!$D$16</definedName>
    <definedName name="Index016">'000'!$D$17</definedName>
    <definedName name="Index017">'000'!$D$18</definedName>
    <definedName name="Index018">'000'!$D$19</definedName>
    <definedName name="Index019">'000'!$D$20</definedName>
    <definedName name="Index020">'000'!$D$21</definedName>
    <definedName name="Index021">'000'!$D$22</definedName>
    <definedName name="Index022">'000'!$D$23</definedName>
    <definedName name="Index023">'000'!$D$24</definedName>
    <definedName name="Index024">'000'!$D$25</definedName>
    <definedName name="Index025">'000'!$D$26</definedName>
    <definedName name="Index026">'000'!$D$27</definedName>
    <definedName name="Index027">'000'!$D$28</definedName>
    <definedName name="Index028">'000'!$D$29</definedName>
    <definedName name="Index029">'000'!$D$30</definedName>
    <definedName name="Index030">'000'!$D$32</definedName>
    <definedName name="Index031">'000'!$D$33</definedName>
    <definedName name="Index032">'000'!$D$34</definedName>
    <definedName name="Index033">'000'!$D$35</definedName>
    <definedName name="Index034">'000'!$D$36</definedName>
    <definedName name="Index035">'000'!$D$37</definedName>
    <definedName name="Index036">'000'!$D$38</definedName>
    <definedName name="Index037">'000'!$D$39</definedName>
    <definedName name="Index038">'000'!$D$40</definedName>
    <definedName name="Index039">'000'!$D$41</definedName>
    <definedName name="Index040">'000'!$D$42</definedName>
    <definedName name="Index041">'000'!$D$43</definedName>
    <definedName name="Index042">'000'!$D$44</definedName>
    <definedName name="Index043">'000'!$D$45</definedName>
    <definedName name="Index044">'000'!$D$46</definedName>
    <definedName name="Index045">'000'!$D$48</definedName>
    <definedName name="Index046">'000'!$D$49</definedName>
    <definedName name="Index047">'000'!$D$50</definedName>
    <definedName name="Index048">'000'!$D$51</definedName>
    <definedName name="Index049">'000'!$D$52</definedName>
    <definedName name="Index050">'000'!$D$53</definedName>
    <definedName name="Index051">'000'!$D$54</definedName>
    <definedName name="Index052">'000'!$D$55</definedName>
    <definedName name="Index053">'000'!$D$56</definedName>
    <definedName name="Index054">'000'!$D$57</definedName>
    <definedName name="Index055">'000'!$D$58</definedName>
    <definedName name="Index056">'000'!$D$59</definedName>
    <definedName name="Index057">'000'!$D$60</definedName>
    <definedName name="Index059">'000'!$D$62</definedName>
    <definedName name="Index060">'000'!$D$63</definedName>
    <definedName name="Index061">'000'!$D$64</definedName>
    <definedName name="Index062">'000'!$D$65</definedName>
    <definedName name="Index063">'000'!$D$66</definedName>
    <definedName name="Index064">'000'!$D$67</definedName>
    <definedName name="Index066">'000'!$D$69</definedName>
    <definedName name="Index067">'000'!$D$70</definedName>
    <definedName name="Index068">'000'!$D$71</definedName>
    <definedName name="Index069">'000'!$D$72</definedName>
    <definedName name="Index070">'000'!$D$73</definedName>
    <definedName name="Index071">'000'!$D$74</definedName>
    <definedName name="Index074">'000'!$D$77</definedName>
    <definedName name="Index075">'000'!$D$78</definedName>
    <definedName name="Index076">'000'!$D$79</definedName>
    <definedName name="Index077">'000'!$D$80</definedName>
    <definedName name="Index078">'000'!$D$81</definedName>
    <definedName name="Index202109">indices!$K$30</definedName>
    <definedName name="Index202110">indices!$L$30</definedName>
    <definedName name="Index202111">indices!$M$30</definedName>
    <definedName name="Index202112">indices!$N$30</definedName>
    <definedName name="Index202201">indices!$C$31</definedName>
    <definedName name="Index202202">indices!$D$31</definedName>
    <definedName name="Index202203">indices!$E$31</definedName>
    <definedName name="Index202204">indices!$F$31</definedName>
    <definedName name="Index202205">indices!$G$31</definedName>
    <definedName name="Index202206">indices!$H$31</definedName>
    <definedName name="Index202207">indices!$I$31</definedName>
    <definedName name="Index202208">indices!$J$31</definedName>
    <definedName name="Index202209">indices!$K$31</definedName>
    <definedName name="Index202210">indices!$L$31</definedName>
    <definedName name="Index202211">indices!$M$31</definedName>
    <definedName name="Index202212">indices!$N$31</definedName>
    <definedName name="Index202301">indices!$C$32</definedName>
    <definedName name="Index202302">indices!$D$32</definedName>
    <definedName name="Index202303">indices!$E$32</definedName>
    <definedName name="Index202304">indices!$F$32</definedName>
    <definedName name="Index202305">indices!$G$32</definedName>
    <definedName name="Index202306">indices!$H$32</definedName>
    <definedName name="Index202307">indices!$I$32</definedName>
    <definedName name="Index202308">indices!$J$32</definedName>
    <definedName name="Index202309">indices!$K$32</definedName>
    <definedName name="MondelingeOvereenkomst">Index!$AC$8</definedName>
    <definedName name="NietGeregistreerd">Index!$AC$12</definedName>
    <definedName name="NieuweIndex">Index!$G$21</definedName>
    <definedName name="_xlnm.Print_Area" localSheetId="1">'000'!$B$2:$D$58</definedName>
    <definedName name="_xlnm.Print_Area" localSheetId="0">Index!$A:$U</definedName>
    <definedName name="_xlnm.Print_Area" localSheetId="3">indices!$B$2:$Y$39</definedName>
    <definedName name="_xlnm.Print_Area" localSheetId="2">Taal!$B$2:$D$49</definedName>
    <definedName name="RecenteIndex">'000'!$D$16</definedName>
    <definedName name="RegDat1">Index!$G$13</definedName>
    <definedName name="RegDatOnbekend">Index!$J$13</definedName>
    <definedName name="Registratiedatum">Index!$AE$13</definedName>
    <definedName name="SignDat">Index!$G$9</definedName>
    <definedName name="SignDatOnbekend">Index!$J$9</definedName>
    <definedName name="StartCorrectie">'000'!$D$5</definedName>
    <definedName name="Startdatum">Index!$G$10</definedName>
    <definedName name="StartIndexstop">'000'!$D$6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2" l="1"/>
  <c r="B22" i="2"/>
  <c r="B20" i="2"/>
  <c r="B19" i="2"/>
  <c r="B17" i="2"/>
  <c r="B16" i="2"/>
  <c r="B15" i="2"/>
  <c r="B14" i="2"/>
  <c r="B13" i="2"/>
  <c r="B12" i="2"/>
  <c r="B11" i="2"/>
  <c r="B10" i="2"/>
  <c r="B9" i="2"/>
  <c r="B8" i="2"/>
  <c r="B7" i="2"/>
  <c r="B6" i="2"/>
  <c r="K5" i="2"/>
  <c r="B5" i="2"/>
  <c r="J4" i="2"/>
  <c r="D81" i="23"/>
  <c r="Y17" i="2"/>
  <c r="D79" i="23"/>
  <c r="AA18" i="2"/>
  <c r="X17" i="2"/>
  <c r="Y18" i="2"/>
  <c r="Z18" i="2" l="1"/>
  <c r="X9" i="2"/>
  <c r="K9" i="2" s="1"/>
  <c r="X19" i="2"/>
  <c r="J19" i="2" s="1"/>
  <c r="X10" i="2"/>
  <c r="AC17" i="2"/>
  <c r="AA17" i="2"/>
  <c r="AG16" i="2"/>
  <c r="F3" i="2"/>
  <c r="U12" i="22"/>
  <c r="AE9" i="2"/>
  <c r="AE13" i="2"/>
  <c r="AE15" i="2"/>
  <c r="K15" i="2" s="1"/>
  <c r="Y15" i="22"/>
  <c r="Y14" i="22"/>
  <c r="Y13" i="22"/>
  <c r="Y12" i="22"/>
  <c r="Y11" i="22"/>
  <c r="Y10" i="22"/>
  <c r="Y9" i="22"/>
  <c r="Y8" i="22"/>
  <c r="Y7" i="22"/>
  <c r="Y6" i="22"/>
  <c r="Y5" i="22"/>
  <c r="Y4" i="22"/>
  <c r="Y3" i="22"/>
  <c r="X15" i="22"/>
  <c r="X14" i="22"/>
  <c r="X13" i="22"/>
  <c r="X12" i="22"/>
  <c r="X11" i="22"/>
  <c r="X10" i="22"/>
  <c r="X9" i="22"/>
  <c r="X8" i="22"/>
  <c r="X7" i="22"/>
  <c r="X6" i="22"/>
  <c r="X5" i="22"/>
  <c r="X4" i="22"/>
  <c r="X3" i="22"/>
  <c r="W15" i="22"/>
  <c r="W14" i="22"/>
  <c r="W13" i="22"/>
  <c r="W12" i="22"/>
  <c r="W11" i="22"/>
  <c r="W10" i="22"/>
  <c r="W9" i="22"/>
  <c r="W8" i="22"/>
  <c r="W7" i="22"/>
  <c r="W6" i="22"/>
  <c r="W5" i="22"/>
  <c r="W4" i="22"/>
  <c r="W3" i="22"/>
  <c r="V8" i="22"/>
  <c r="V9" i="22"/>
  <c r="V10" i="22"/>
  <c r="V11" i="22"/>
  <c r="V12" i="22"/>
  <c r="V15" i="22"/>
  <c r="V14" i="22"/>
  <c r="V13" i="22"/>
  <c r="V7" i="22"/>
  <c r="V5" i="22"/>
  <c r="V4" i="22"/>
  <c r="V3" i="22"/>
  <c r="V6" i="22"/>
  <c r="D67" i="23"/>
  <c r="C27" i="23"/>
  <c r="D10" i="7"/>
  <c r="D31" i="7"/>
  <c r="C31" i="7"/>
  <c r="AE16" i="2" l="1"/>
  <c r="D8" i="23"/>
  <c r="AA9" i="2"/>
  <c r="AA10" i="2"/>
  <c r="C10" i="7"/>
  <c r="D64" i="23" l="1"/>
  <c r="D60" i="7" s="1"/>
  <c r="AG10" i="2"/>
  <c r="AE12" i="2"/>
  <c r="AC19" i="2"/>
  <c r="D30" i="23"/>
  <c r="AA8" i="2"/>
  <c r="D29" i="23"/>
  <c r="C28" i="23"/>
  <c r="D25" i="23"/>
  <c r="C24" i="23"/>
  <c r="C23" i="23"/>
  <c r="C22" i="23"/>
  <c r="D12" i="23"/>
  <c r="C12" i="23"/>
  <c r="D10" i="23"/>
  <c r="D80" i="23" s="1"/>
  <c r="D11" i="23"/>
  <c r="AE8" i="2"/>
  <c r="D7" i="23"/>
  <c r="AC11" i="2"/>
  <c r="AC8" i="2"/>
  <c r="J8" i="2" s="1"/>
  <c r="AA6" i="2"/>
  <c r="AF3" i="22"/>
  <c r="O34" i="22"/>
  <c r="O35" i="22"/>
  <c r="O36" i="22"/>
  <c r="O37" i="22"/>
  <c r="O38" i="22"/>
  <c r="O39" i="22"/>
  <c r="P34" i="22"/>
  <c r="P35" i="22"/>
  <c r="P36" i="22"/>
  <c r="P37" i="22"/>
  <c r="P38" i="22"/>
  <c r="P39" i="22"/>
  <c r="P3" i="22"/>
  <c r="P4" i="22"/>
  <c r="P5" i="22"/>
  <c r="P6" i="22"/>
  <c r="P7" i="22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O3" i="22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AC16" i="2"/>
  <c r="S2" i="22" l="1"/>
  <c r="R3" i="22" s="1"/>
  <c r="D33" i="23"/>
  <c r="D32" i="23"/>
  <c r="D77" i="23"/>
  <c r="D78" i="23" s="1"/>
  <c r="C60" i="7"/>
  <c r="B18" i="2" s="1"/>
  <c r="D66" i="23"/>
  <c r="AC10" i="2"/>
  <c r="X21" i="2" s="1"/>
  <c r="D65" i="23"/>
  <c r="D63" i="23"/>
  <c r="D13" i="23"/>
  <c r="D20" i="23"/>
  <c r="D9" i="23"/>
  <c r="X18" i="2" s="1"/>
  <c r="K18" i="2" s="1"/>
  <c r="C13" i="23"/>
  <c r="D44" i="23"/>
  <c r="D14" i="23"/>
  <c r="AA12" i="2"/>
  <c r="AA11" i="2"/>
  <c r="D73" i="23" l="1"/>
  <c r="D40" i="23"/>
  <c r="G20" i="2"/>
  <c r="AF4" i="22" s="1"/>
  <c r="D35" i="23"/>
  <c r="D34" i="23"/>
  <c r="AC13" i="2"/>
  <c r="K13" i="2" s="1"/>
  <c r="AC15" i="2"/>
  <c r="D21" i="23" l="1"/>
  <c r="D57" i="23"/>
  <c r="D56" i="23"/>
  <c r="D59" i="23"/>
  <c r="D58" i="23"/>
  <c r="J20" i="2"/>
  <c r="D41" i="23"/>
  <c r="D2" i="23"/>
  <c r="AC14" i="2"/>
  <c r="AC12" i="2"/>
  <c r="J12" i="2" s="1"/>
  <c r="AC7" i="2"/>
  <c r="J7" i="2" s="1"/>
  <c r="AA7" i="2"/>
  <c r="AC6" i="2"/>
  <c r="J6" i="2" s="1"/>
  <c r="D27" i="23" l="1"/>
  <c r="J14" i="2"/>
  <c r="B2" i="2"/>
  <c r="J10" i="2"/>
  <c r="D74" i="23"/>
  <c r="D70" i="23"/>
  <c r="AG12" i="2" s="1"/>
  <c r="F70" i="23"/>
  <c r="AA16" i="2"/>
  <c r="D47" i="7"/>
  <c r="C47" i="7"/>
  <c r="V7" i="2"/>
  <c r="V8" i="2" s="1"/>
  <c r="V9" i="2" s="1"/>
  <c r="V10" i="2" s="1"/>
  <c r="D23" i="23"/>
  <c r="D42" i="23" s="1"/>
  <c r="AA13" i="2"/>
  <c r="AA15" i="2"/>
  <c r="D3" i="23"/>
  <c r="B3" i="2" s="1"/>
  <c r="D4" i="23"/>
  <c r="G4" i="2" s="1"/>
  <c r="D15" i="23"/>
  <c r="D16" i="23" s="1"/>
  <c r="J25" i="2" s="1"/>
  <c r="C15" i="23"/>
  <c r="D26" i="23"/>
  <c r="D22" i="23"/>
  <c r="AA14" i="2"/>
  <c r="B23" i="2" l="1"/>
  <c r="J23" i="2"/>
  <c r="D55" i="23"/>
  <c r="D62" i="23" s="1"/>
  <c r="B21" i="2"/>
  <c r="F55" i="23"/>
  <c r="D24" i="23"/>
  <c r="AC2" i="22"/>
  <c r="AB2" i="22"/>
  <c r="AD2" i="22"/>
  <c r="AE2" i="22"/>
  <c r="AF2" i="22"/>
  <c r="D17" i="23"/>
  <c r="C17" i="23"/>
  <c r="AE10" i="2"/>
  <c r="C18" i="23"/>
  <c r="D37" i="23"/>
  <c r="D53" i="23" s="1"/>
  <c r="D28" i="23"/>
  <c r="D43" i="23"/>
  <c r="G3" i="7"/>
  <c r="D71" i="23" l="1"/>
  <c r="D72" i="23" s="1"/>
  <c r="D54" i="23"/>
  <c r="AG8" i="2"/>
  <c r="AE10" i="22"/>
  <c r="AE3" i="22"/>
  <c r="AF5" i="22"/>
  <c r="V11" i="2"/>
  <c r="V12" i="2" s="1"/>
  <c r="V17" i="2" s="1"/>
  <c r="D18" i="23"/>
  <c r="AD4" i="22"/>
  <c r="AD5" i="22" s="1"/>
  <c r="D45" i="23"/>
  <c r="D39" i="23"/>
  <c r="D38" i="23"/>
  <c r="D49" i="23" s="1"/>
  <c r="G5" i="7"/>
  <c r="D46" i="23" l="1"/>
  <c r="D48" i="23" s="1"/>
  <c r="D51" i="23" s="1"/>
  <c r="D52" i="23"/>
  <c r="D60" i="23"/>
  <c r="J22" i="2" s="1"/>
  <c r="G22" i="2"/>
  <c r="J21" i="2"/>
  <c r="G21" i="2"/>
  <c r="V18" i="2"/>
  <c r="D61" i="23"/>
  <c r="V13" i="2"/>
  <c r="V14" i="2" s="1"/>
  <c r="AE4" i="22"/>
  <c r="AE5" i="22" s="1"/>
  <c r="AD3" i="22"/>
  <c r="AC3" i="22"/>
  <c r="AC4" i="22"/>
  <c r="AC5" i="22" s="1"/>
  <c r="AB4" i="22"/>
  <c r="AB5" i="22" s="1"/>
  <c r="AB3" i="22"/>
  <c r="D44" i="7"/>
  <c r="C44" i="7"/>
  <c r="G4" i="7"/>
  <c r="AC6" i="22" l="1"/>
  <c r="AC7" i="22" s="1"/>
  <c r="V22" i="2"/>
  <c r="AE6" i="22"/>
  <c r="AE7" i="22" s="1"/>
  <c r="AD6" i="22"/>
  <c r="AD7" i="22" s="1"/>
  <c r="AB6" i="22"/>
  <c r="AB7" i="22" s="1"/>
  <c r="V15" i="2"/>
  <c r="V16" i="2" s="1"/>
  <c r="V19" i="2" s="1"/>
  <c r="AF6" i="22"/>
  <c r="G23" i="2"/>
  <c r="V21" i="2" l="1"/>
  <c r="V20" i="2"/>
  <c r="D50" i="23"/>
  <c r="AF7" i="22"/>
  <c r="D36" i="23" l="1"/>
  <c r="B25" i="2" s="1"/>
</calcChain>
</file>

<file path=xl/sharedStrings.xml><?xml version="1.0" encoding="utf-8"?>
<sst xmlns="http://schemas.openxmlformats.org/spreadsheetml/2006/main" count="296" uniqueCount="286">
  <si>
    <t>Non</t>
  </si>
  <si>
    <t>FR</t>
  </si>
  <si>
    <t>NL</t>
  </si>
  <si>
    <t>ID</t>
  </si>
  <si>
    <t>Oui</t>
  </si>
  <si>
    <t>Ja</t>
  </si>
  <si>
    <t>Nee</t>
  </si>
  <si>
    <t>List1</t>
  </si>
  <si>
    <t>Fr</t>
  </si>
  <si>
    <t>?</t>
  </si>
  <si>
    <t>E</t>
  </si>
  <si>
    <t>Deze berekening is enkel van toepassing voor woninghuurovereenkomsten.</t>
  </si>
  <si>
    <t xml:space="preserve">Energieklasse van het EPB-certificaat: </t>
  </si>
  <si>
    <t xml:space="preserve">Basishuurprijs op </t>
  </si>
  <si>
    <t>Er is geen correctiefactor van toepassing voor de aanpassing van de huurprijs.</t>
  </si>
  <si>
    <t xml:space="preserve">Toegepaste correctiefactor: </t>
  </si>
  <si>
    <t>indexcijfer</t>
  </si>
  <si>
    <t>base 2013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</si>
  <si>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</si>
  <si>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</si>
  <si>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</si>
  <si>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</si>
  <si>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</si>
  <si>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</si>
  <si>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</si>
  <si>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</si>
  <si>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</si>
  <si>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</si>
  <si>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</si>
  <si>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</si>
  <si>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FG</t>
  </si>
  <si>
    <t>M</t>
  </si>
  <si>
    <t>10b</t>
  </si>
  <si>
    <t>Year</t>
  </si>
  <si>
    <t>Rekenmodule - Aanpassing van de huurprijs</t>
  </si>
  <si>
    <t>Aanvangsindexcijfer (basis 2013)</t>
  </si>
  <si>
    <t>(Startdatum van contract na 13/10/2022)FR</t>
  </si>
  <si>
    <t xml:space="preserve"> (Startdatum van contract na 13/10/2022)</t>
  </si>
  <si>
    <t xml:space="preserve"> (Energieklasse A, B, C of D)</t>
  </si>
  <si>
    <t>De nieuwe huurprijs kan pas berekend worden vanaf 01/</t>
  </si>
  <si>
    <t>met een versie …</t>
  </si>
  <si>
    <t xml:space="preserve">Info: Indien de verhuurde woning zou beschikken over een energieklasse A,B, C of D zou de jaarlijkse huur </t>
  </si>
  <si>
    <t>Is het contract ouder dan 14/10/2022?</t>
  </si>
  <si>
    <t>Meest recente datum waarvoor de index kan berekend worden.</t>
  </si>
  <si>
    <t>Basisindex</t>
  </si>
  <si>
    <t>Indexcijfer</t>
  </si>
  <si>
    <t>Correctiefactor</t>
  </si>
  <si>
    <t>Basishuurprijs</t>
  </si>
  <si>
    <t>Aangepaste huurprijs</t>
  </si>
  <si>
    <t xml:space="preserve"> € hoger zijn.</t>
  </si>
  <si>
    <t>Index001</t>
  </si>
  <si>
    <t>Laatste datum die kan berekend worden op basis van de beschikbare indexcijfers.</t>
  </si>
  <si>
    <t>Index002</t>
  </si>
  <si>
    <t>Tijdstip van eerstvolgende nieuwe versie van de berekeningsmodule</t>
  </si>
  <si>
    <t>Index003</t>
  </si>
  <si>
    <t>Versienaam van deze berekeningstoepassing</t>
  </si>
  <si>
    <t>Index004</t>
  </si>
  <si>
    <t>Index005</t>
  </si>
  <si>
    <t>Index006</t>
  </si>
  <si>
    <t>Index007</t>
  </si>
  <si>
    <t>Index008</t>
  </si>
  <si>
    <t>Index009</t>
  </si>
  <si>
    <t>Index010</t>
  </si>
  <si>
    <t xml:space="preserve">Deze rekenmodule is enkel van toepassing voor huurovereenkomsten gelegen in het Brussels Gewest. </t>
  </si>
  <si>
    <t>- Het betreft een woning gelegen in het Brussels Hoofdstedelijk Gewest?</t>
  </si>
  <si>
    <t>- Het betreft een woninghuurovereenkomst?</t>
  </si>
  <si>
    <t>- De schriftelijke woninghuurovereenkomst is geregistreerd?</t>
  </si>
  <si>
    <t>- Is het EPB-certificaat aan de huurder voorgelegd?</t>
  </si>
  <si>
    <t>- Sluit het contract de indexering uitdrukkelijk uit?</t>
  </si>
  <si>
    <t>Start van correctiefactor</t>
  </si>
  <si>
    <t>Start van de indexstop</t>
  </si>
  <si>
    <t>Geindexeerde huurprijs</t>
  </si>
  <si>
    <t>Maand voorafgaand aan de start van het huurcontract</t>
  </si>
  <si>
    <t>Jaar van de maand voorafgaand aan de start van het huurcontract</t>
  </si>
  <si>
    <t>Startdatum van het contract</t>
  </si>
  <si>
    <t>Index011</t>
  </si>
  <si>
    <t>Index012</t>
  </si>
  <si>
    <t>Index013</t>
  </si>
  <si>
    <t>Verschil in jaren tussen de startdatum en de verjaardag in het huidige jaar.</t>
  </si>
  <si>
    <t>Index014</t>
  </si>
  <si>
    <t>Index015</t>
  </si>
  <si>
    <t>Index016</t>
  </si>
  <si>
    <t>Index017</t>
  </si>
  <si>
    <t>Index018</t>
  </si>
  <si>
    <t>Datum vanaf wanneer mondelinge huurovereenkomsten niet langer kunnen geindexeerd worden.</t>
  </si>
  <si>
    <t>Index019</t>
  </si>
  <si>
    <t xml:space="preserve">De aanpassing van de huurprijs van een mondeling huurcontract is sinds </t>
  </si>
  <si>
    <t>Is de startdatum van het mondeling huurcontract recenter dan de wetswijziging die indexatie van deze contracten verbiedt?</t>
  </si>
  <si>
    <t>Index020</t>
  </si>
  <si>
    <t xml:space="preserve">Mondelinge huurovereenkomst - Als index019 = "N": Laatste indexcijfer </t>
  </si>
  <si>
    <t>Index021</t>
  </si>
  <si>
    <t>Index022</t>
  </si>
  <si>
    <t>Index023</t>
  </si>
  <si>
    <t>Index024</t>
  </si>
  <si>
    <t>Verjaardag vanaf wanneer de indexering mogelijk is omwille van de registratie.</t>
  </si>
  <si>
    <t>Index025</t>
  </si>
  <si>
    <t>Index026</t>
  </si>
  <si>
    <t>Index027</t>
  </si>
  <si>
    <t>Index028</t>
  </si>
  <si>
    <t>Is het EPB-attest voorgelegd aan de huurder?</t>
  </si>
  <si>
    <t>Verjaardag vanaf wanneer de indexering mogelijk is omwille van het voorleggen van het EPB attest</t>
  </si>
  <si>
    <t>Index029</t>
  </si>
  <si>
    <t>Vervaldatum in 2023</t>
  </si>
  <si>
    <t>Index030</t>
  </si>
  <si>
    <t>Gebruikte correctiefactoren</t>
  </si>
  <si>
    <t>Gebruikte indexcijfers voor correctie Index 1</t>
  </si>
  <si>
    <t>Gebruikte indexcijfers voor correctie Index 2</t>
  </si>
  <si>
    <t>Index031</t>
  </si>
  <si>
    <t>Index032</t>
  </si>
  <si>
    <t>Formule Energieklasse E</t>
  </si>
  <si>
    <t>Index033</t>
  </si>
  <si>
    <t>Formule Energieklasse F/G</t>
  </si>
  <si>
    <t>Index034</t>
  </si>
  <si>
    <t>Hoeveel bedraagt de jaarlijkse huurprijs indien er geen sprake is van toepassing van correctiefactoren?</t>
  </si>
  <si>
    <t>Index035</t>
  </si>
  <si>
    <t>Code voor correctiefactor</t>
  </si>
  <si>
    <t>Laatste te gebruiken indexcijfer</t>
  </si>
  <si>
    <t>Jaartal voor laatste te gebruiken indexcijfer</t>
  </si>
  <si>
    <t>Index036</t>
  </si>
  <si>
    <t>Index037</t>
  </si>
  <si>
    <t>Index038</t>
  </si>
  <si>
    <t>Tekst voor laatst gebruikte indexcijfer</t>
  </si>
  <si>
    <t>Tekst voor indexcijfer basisjaar</t>
  </si>
  <si>
    <t>Index039</t>
  </si>
  <si>
    <t>Tekst voor laatste indexcijfer indien mondelinge overeenkomst</t>
  </si>
  <si>
    <t xml:space="preserve"> niet meer toegestaan. (Art.224/2)</t>
  </si>
  <si>
    <t xml:space="preserve"> niet toegestaan. (Art. 224/2)</t>
  </si>
  <si>
    <t>Index040</t>
  </si>
  <si>
    <t>Tekst voor laatste indexering indien niet geregisteerd</t>
  </si>
  <si>
    <t>Index041</t>
  </si>
  <si>
    <t>Tekst voor laatste indexering indien energiecertificaat niet voorgelegd</t>
  </si>
  <si>
    <t>Index042</t>
  </si>
  <si>
    <t>Index043</t>
  </si>
  <si>
    <t>Datum 3 maand voor de start van het huurcontract (contrôle van ingave registratiedatum en PEB)</t>
  </si>
  <si>
    <r>
      <t xml:space="preserve">Jaartal </t>
    </r>
    <r>
      <rPr>
        <b/>
        <i/>
        <sz val="11"/>
        <color theme="4"/>
        <rFont val="Calibri"/>
        <family val="2"/>
        <scheme val="minor"/>
      </rPr>
      <t>voorlaatste</t>
    </r>
    <r>
      <rPr>
        <i/>
        <sz val="11"/>
        <color theme="4"/>
        <rFont val="Calibri"/>
        <family val="2"/>
        <scheme val="minor"/>
      </rPr>
      <t xml:space="preserve"> te gebruiken indexcijfer</t>
    </r>
  </si>
  <si>
    <t>Index044</t>
  </si>
  <si>
    <t>Index045</t>
  </si>
  <si>
    <t>Voorlaatste te gebruiken indexcijfer in geval van berekening 2022</t>
  </si>
  <si>
    <t>Berekening 2022 indien energielabel E</t>
  </si>
  <si>
    <t>Huurprijs 2021</t>
  </si>
  <si>
    <t>Huurprijs 2022</t>
  </si>
  <si>
    <t>Index046</t>
  </si>
  <si>
    <t>Index047</t>
  </si>
  <si>
    <t>Toegestane verhoging 2022 indien energielabel E (50%)</t>
  </si>
  <si>
    <t>Index048</t>
  </si>
  <si>
    <t>Aangepaste huurprijs 2022 energielabel E</t>
  </si>
  <si>
    <t>Index049</t>
  </si>
  <si>
    <t>Tekst voor laatste indexering in geval van energielabel &gt; E</t>
  </si>
  <si>
    <t>Index050</t>
  </si>
  <si>
    <t>Tekst voor laatste indexering in geval van energielabel = E</t>
  </si>
  <si>
    <t>- Il s'agit d'un bail d'habitation?</t>
  </si>
  <si>
    <t>Ce calcul s'applique uniquement aux baux d'habitation.</t>
  </si>
  <si>
    <t xml:space="preserve">Deze versie is enkel bruikbaar voor het berekenen van de aanpassing van huurprijzen van woninghuurovereenkomsten tot </t>
  </si>
  <si>
    <t xml:space="preserve">Cette version ne peut être utilisée que pour le calcul de l'ajustement des prix des loyers des baux d'habitation jusqu'au </t>
  </si>
  <si>
    <t>- Le contrat exclut-il expressément l'indexation?</t>
  </si>
  <si>
    <t>- Le bail d'habitation écrit a été enregistré?</t>
  </si>
  <si>
    <t>Classe énergétique du certificat PEB :</t>
  </si>
  <si>
    <t>Chiffre de l'indice initial (base 2013)</t>
  </si>
  <si>
    <t xml:space="preserve">Nieuw indexcijfer vanaf </t>
  </si>
  <si>
    <t>Facteur de correction appliqué :</t>
  </si>
  <si>
    <t>Geen</t>
  </si>
  <si>
    <t>Facteur de correction</t>
  </si>
  <si>
    <t>Chiffre de l'indice</t>
  </si>
  <si>
    <t>(Classe énergétique A, B, C ou D)</t>
  </si>
  <si>
    <t xml:space="preserve">Non </t>
  </si>
  <si>
    <t>Ben je zeker van deze datum? Indien ja, negeer deze bemerking.</t>
  </si>
  <si>
    <t>Etes-vous sûr de cette date ? Si oui, ignorez ce commentaire.</t>
  </si>
  <si>
    <t>Le facteur de correction du loyer n’est pas d’application pour les contrats ayant débutés après le 14/10/2023</t>
  </si>
  <si>
    <t>Le nouveau prix de location ne pourra être calculé qu’à partir du 01/</t>
  </si>
  <si>
    <t>avec une version</t>
  </si>
  <si>
    <t xml:space="preserve">Info : Si le bien loué avait une classe énergétique A, B, C ou D, le loyer annuel serait de </t>
  </si>
  <si>
    <t>€ plus élevé.</t>
  </si>
  <si>
    <t>Index051</t>
  </si>
  <si>
    <t>Tekst wanneer geen correctiefactor vereist is omwille van mondeling contract, …</t>
  </si>
  <si>
    <t>Index052</t>
  </si>
  <si>
    <t>Index053</t>
  </si>
  <si>
    <t>Deze datum is gesitueerd in de toekomst. Geef de juiste datum in.</t>
  </si>
  <si>
    <t>Deze datum is gesitueerd in de toekomst. Geef de juiste datum in.FR</t>
  </si>
  <si>
    <t>- Il s'agit d'un logement situé en Région de Bruxelles-Capitale?</t>
  </si>
  <si>
    <t>- Le certificat PEB a-t-il été présentée au locataire ?</t>
  </si>
  <si>
    <t xml:space="preserve">Nouveau chiffre de l’indice à partir de </t>
  </si>
  <si>
    <t>Index054</t>
  </si>
  <si>
    <t>Index055</t>
  </si>
  <si>
    <t>Verjaardatum van het huurcontract in 2023</t>
  </si>
  <si>
    <t>Tekst voor correctiefactor Energielabel E Optie 1</t>
  </si>
  <si>
    <t>Tekst voor correctiefactor Energielabel E Optie 2</t>
  </si>
  <si>
    <t>Tekst voor correctiefactor Energielabel F &amp; G Optie 1</t>
  </si>
  <si>
    <t>Tekst voor correctiefactor Energielabel F &amp; G Optie 2</t>
  </si>
  <si>
    <t>Index056</t>
  </si>
  <si>
    <t>- Date de début du bail d'habitation. (jj/mm/aaaa)</t>
  </si>
  <si>
    <t>Pas d'augmentation du 14/10/2022 au 13/10/2023 (Art. 224/2)</t>
  </si>
  <si>
    <t xml:space="preserve"> Geen verhoging vanaf 14/10/2022 tot en met 13/10/2023 (Art. 224/2)</t>
  </si>
  <si>
    <t>Du 14/10/2022 au 13/10/2023 augmentation uniquement de 50% maximum (Art. 224/2)</t>
  </si>
  <si>
    <t xml:space="preserve"> vanaf 14/10/2022 tot en met 13/10/2023 enkel verhoging met maximaal 50% (Art. 224/2)</t>
  </si>
  <si>
    <t>- Datum waarop het contract werd geregistreerd  (dd/mm/jjjj) of onbekend (?).</t>
  </si>
  <si>
    <t>- Date d'enregistrement du contrat  (jj/mm/aaaa) ou inconnu (?).</t>
  </si>
  <si>
    <t>Date à laquelle le certificat PEB a été remise au locataire  (jj/mm/aaaa) ou inconnu (?).</t>
  </si>
  <si>
    <t>- Il s'agit d'un bail d'habitation écrit?</t>
  </si>
  <si>
    <t>Index057</t>
  </si>
  <si>
    <t>Index060</t>
  </si>
  <si>
    <t>Valt de vervaldag in het laatste jaar voor 14/10/2013</t>
  </si>
  <si>
    <t>Index058</t>
  </si>
  <si>
    <t>Gekozen tekst voor correctiefactor</t>
  </si>
  <si>
    <t>- Date de conclusion du bail d'habitation. (jj/mm/aaaa) ou inconnu (?)</t>
  </si>
  <si>
    <t>- Datum van de ondertekening van de huurovereenkomst. (dd/mm/jjjj) of (?)</t>
  </si>
  <si>
    <t>Index061</t>
  </si>
  <si>
    <t>Datum waarop het contract werd ondertekend</t>
  </si>
  <si>
    <t>Index062</t>
  </si>
  <si>
    <t>Maand voorafgaand aan de ondertekening van het contract</t>
  </si>
  <si>
    <t>Index063</t>
  </si>
  <si>
    <t>Jaar van de maand voorafgaand aan de ondertekening van het contract</t>
  </si>
  <si>
    <t>Index059</t>
  </si>
  <si>
    <t>Tekst indien energielabel &gt; D</t>
  </si>
  <si>
    <t>Module de calcul - Ajustement du loyer</t>
  </si>
  <si>
    <t>- Startdatum van de woninghuurovereenkomst. (dd/mm/jjjj)</t>
  </si>
  <si>
    <t xml:space="preserve">Loyer de base le </t>
  </si>
  <si>
    <t>De correctiefactor is niet van toepassing op woninghuurcontracten gestart na 14/10/2023.</t>
  </si>
  <si>
    <t>Aucun facteur de correction n'est d'application.</t>
  </si>
  <si>
    <t>Indice d'indexation</t>
  </si>
  <si>
    <t>- Het betreft een schriftelijke woninghuurovereenkomst?</t>
  </si>
  <si>
    <t>Loyer indexé</t>
  </si>
  <si>
    <t>Indexation du loyer interdit depuis le 14/10/2022 tant que le certificat PEB n'a pas été remis au locataire.</t>
  </si>
  <si>
    <t>Huurprijsaanpassing sinds 14/10/2022 niet toegestaan zolang het EPB-certificaat niet werd voorgelegd aan de huurder.</t>
  </si>
  <si>
    <t>Datum waarop het EPB-certificaat aan de huurder werd voorgelegd  (dd/mm/jjjj) of onbekend (?).</t>
  </si>
  <si>
    <t>Index064</t>
  </si>
  <si>
    <t>Verjaardag van het contract in 2022</t>
  </si>
  <si>
    <t>Taalkeuze</t>
  </si>
  <si>
    <t>Choix de langue</t>
  </si>
  <si>
    <t>Link update</t>
  </si>
  <si>
    <t>Index1</t>
  </si>
  <si>
    <t>Index2</t>
  </si>
  <si>
    <t xml:space="preserve">) le </t>
  </si>
  <si>
    <t xml:space="preserve">) op </t>
  </si>
  <si>
    <t xml:space="preserve">Eerstvolgende update van de module (= toevoegen van index </t>
  </si>
  <si>
    <t xml:space="preserve">Maximum geindexeerde huurprijs te betalen voor de huur vanaf </t>
  </si>
  <si>
    <t xml:space="preserve">Loyer maximum indexé à payer pour le loyer à partir de </t>
  </si>
  <si>
    <t>t</t>
  </si>
  <si>
    <t>Vul de verschillende velden in.</t>
  </si>
  <si>
    <t>Remplissez les différents champs.</t>
  </si>
  <si>
    <t xml:space="preserve">U kan de huurprijs vanaf </t>
  </si>
  <si>
    <t xml:space="preserve">  avec la version V</t>
  </si>
  <si>
    <t xml:space="preserve"> berekenen met de versie V</t>
  </si>
  <si>
    <t xml:space="preserve"> of recenter van deze rekenmodule.</t>
  </si>
  <si>
    <t xml:space="preserve"> ou plus récente de ce module de calcul.</t>
  </si>
  <si>
    <t xml:space="preserve">Prochaine mise à jour du module (= Ajout de l'indice </t>
  </si>
  <si>
    <t>Ce module de calcul s'applique uniquement aux contrats de location situés en Région de Bruxelles-Capitale.</t>
  </si>
  <si>
    <t>Ce module de calcul s'applique uniquement aux baux d'habitation situés en Région de Bruxelles-Capitale.</t>
  </si>
  <si>
    <t xml:space="preserve">Deze rekenmodule is enkel van toepassing voor woninghuurovereenkomsten gelegen in het Brussels Gewest. </t>
  </si>
  <si>
    <t xml:space="preserve">Vous pourrez calculer le prix de loyer à partir du </t>
  </si>
  <si>
    <t>https://statbel.fgov.be/nl/themas/consumptieprijsindex/consumptieprijsindex</t>
  </si>
  <si>
    <t>Index065</t>
  </si>
  <si>
    <t>Locatie voor gegevens van gezondheidsindex</t>
  </si>
  <si>
    <t>Index066</t>
  </si>
  <si>
    <t>31 december 2023</t>
  </si>
  <si>
    <t>Index067</t>
  </si>
  <si>
    <t>Index068</t>
  </si>
  <si>
    <t>Is het een 'niet geregistreerd' contract dat aanving meer dan 1 jaar voor de beperking inzake indexering omwille van registratie</t>
  </si>
  <si>
    <t>Werd de huurprijs reeds geindexeerd?</t>
  </si>
  <si>
    <r>
      <t xml:space="preserve">Jaartal voor de berekening van het </t>
    </r>
    <r>
      <rPr>
        <i/>
        <u/>
        <sz val="11"/>
        <color theme="4"/>
        <rFont val="Calibri"/>
        <family val="2"/>
        <scheme val="minor"/>
      </rPr>
      <t>laatste mogelijk jaar</t>
    </r>
    <r>
      <rPr>
        <i/>
        <sz val="11"/>
        <color theme="4"/>
        <rFont val="Calibri"/>
        <family val="2"/>
        <scheme val="minor"/>
      </rPr>
      <t xml:space="preserve"> voor indexering in geval van geen registratie</t>
    </r>
  </si>
  <si>
    <t>Index069</t>
  </si>
  <si>
    <t>Laatste jaar waarop een indexering gebeurde in geval van niet geregisteerd contract</t>
  </si>
  <si>
    <t>Index070</t>
  </si>
  <si>
    <t>Tekst voor indexering in geval van geen registratie</t>
  </si>
  <si>
    <t>Index071</t>
  </si>
  <si>
    <t>Laatste toegestane indexering in geval van geen registratie.</t>
  </si>
  <si>
    <t>Vous n'avez pas encodé un montant !</t>
  </si>
  <si>
    <t>U heeft geen bedrag ingevoerd!</t>
  </si>
  <si>
    <t>U heeft geen datum ingevoerd!</t>
  </si>
  <si>
    <t>Vous n'avez pas introduit une date !</t>
  </si>
  <si>
    <t>Le prix de loyer a-t-il déjà été indexé ?</t>
  </si>
  <si>
    <t>U heeft een foutief jaartal ingevoerd!</t>
  </si>
  <si>
    <t>Vous avez saisi une année non valide !</t>
  </si>
  <si>
    <t>Index072</t>
  </si>
  <si>
    <t>Index073</t>
  </si>
  <si>
    <t>Tekst voor correctiefactor Energielabel E Optie 3 (Vanaf 1 januari 2023 tot en met 13 oktober 2023)</t>
  </si>
  <si>
    <t>Tekst voor correctiefactor Energielabel F &amp; G Optie 3 (Vanaf 1 januari 2023 tot en met 13 oktober 2023)</t>
  </si>
  <si>
    <t>Index074</t>
  </si>
  <si>
    <t>Jaartal in geval van indexering zonder registratie</t>
  </si>
  <si>
    <t>Index075</t>
  </si>
  <si>
    <t>Index076</t>
  </si>
  <si>
    <t>Jaartal van indexcijfer in geval van geen registratie</t>
  </si>
  <si>
    <t>Jaar voor de start van de indexeringstop bij gebrek aan registratie</t>
  </si>
  <si>
    <t>Index077</t>
  </si>
  <si>
    <t>Maand van datum één maand eerder dan de start van de verhuring</t>
  </si>
  <si>
    <t>Index078</t>
  </si>
  <si>
    <t>Jaar na start van indexstop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</si>
</sst>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,##0.00\ &quot;€&quot;"/>
    <numFmt numFmtId="166" formatCode="0.0000000"/>
    <numFmt numFmtId="167" formatCode="0.000000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rgb="FFFF0000"/>
      <name val="Calibri"/>
      <family val="2"/>
      <scheme val="minor"/>
    </font>
    <font>
      <i/>
      <sz val="10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i/>
      <u/>
      <sz val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3"/>
      <name val="Calibri"/>
      <family val="2"/>
      <scheme val="minor"/>
    </font>
    <font>
      <i/>
      <u/>
      <sz val="12"/>
      <color theme="4"/>
      <name val="Calibri"/>
      <family val="2"/>
      <scheme val="minor"/>
    </font>
    <font>
      <i/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5"/>
      <name val="Wingdings 3"/>
      <family val="1"/>
      <charset val="2"/>
    </font>
    <font>
      <i/>
      <u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ck">
        <color theme="5"/>
      </right>
      <top style="thick">
        <color theme="5"/>
      </top>
      <bottom/>
      <diagonal/>
    </border>
    <border>
      <left/>
      <right style="thick">
        <color theme="5"/>
      </right>
      <top/>
      <bottom style="hair">
        <color auto="1"/>
      </bottom>
      <diagonal/>
    </border>
    <border>
      <left/>
      <right style="thick">
        <color theme="5"/>
      </right>
      <top/>
      <bottom/>
      <diagonal/>
    </border>
    <border>
      <left/>
      <right style="thick">
        <color theme="5"/>
      </right>
      <top style="hair">
        <color auto="1"/>
      </top>
      <bottom style="hair">
        <color auto="1"/>
      </bottom>
      <diagonal/>
    </border>
    <border>
      <left/>
      <right style="thick">
        <color theme="5"/>
      </right>
      <top style="hair">
        <color auto="1"/>
      </top>
      <bottom style="thick">
        <color theme="5"/>
      </bottom>
      <diagonal/>
    </border>
    <border>
      <left/>
      <right/>
      <top style="hair">
        <color auto="1"/>
      </top>
      <bottom style="thick">
        <color theme="5"/>
      </bottom>
      <diagonal/>
    </border>
  </borders>
  <cellStyleXfs count="5">
    <xf numFmtId="0" fontId="0" fillId="0" borderId="0"/>
    <xf numFmtId="0" fontId="12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 vertical="top"/>
    </xf>
    <xf numFmtId="0" fontId="9" fillId="2" borderId="0" xfId="0" applyFont="1" applyFill="1" applyAlignment="1">
      <alignment vertical="top" wrapText="1"/>
    </xf>
    <xf numFmtId="14" fontId="0" fillId="0" borderId="0" xfId="0" applyNumberFormat="1"/>
    <xf numFmtId="0" fontId="2" fillId="0" borderId="0" xfId="0" applyFont="1"/>
    <xf numFmtId="14" fontId="6" fillId="0" borderId="0" xfId="0" applyNumberFormat="1" applyFont="1" applyAlignment="1">
      <alignment horizontal="center"/>
    </xf>
    <xf numFmtId="14" fontId="6" fillId="0" borderId="0" xfId="0" applyNumberFormat="1" applyFont="1"/>
    <xf numFmtId="0" fontId="2" fillId="0" borderId="0" xfId="0" applyFont="1" applyAlignment="1">
      <alignment horizontal="left"/>
    </xf>
    <xf numFmtId="0" fontId="1" fillId="2" borderId="0" xfId="0" applyFont="1" applyFill="1" applyProtection="1">
      <protection hidden="1"/>
    </xf>
    <xf numFmtId="0" fontId="14" fillId="2" borderId="1" xfId="0" applyFont="1" applyFill="1" applyBorder="1" applyProtection="1">
      <protection hidden="1"/>
    </xf>
    <xf numFmtId="0" fontId="13" fillId="2" borderId="1" xfId="0" applyFont="1" applyFill="1" applyBorder="1" applyProtection="1">
      <protection hidden="1"/>
    </xf>
    <xf numFmtId="0" fontId="8" fillId="0" borderId="0" xfId="0" applyFont="1"/>
    <xf numFmtId="0" fontId="17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0" fillId="2" borderId="1" xfId="0" applyFont="1" applyFill="1" applyBorder="1" applyAlignment="1" applyProtection="1">
      <alignment horizontal="right"/>
      <protection hidden="1"/>
    </xf>
    <xf numFmtId="0" fontId="21" fillId="2" borderId="0" xfId="0" applyFont="1" applyFill="1" applyProtection="1">
      <protection hidden="1"/>
    </xf>
    <xf numFmtId="0" fontId="9" fillId="2" borderId="1" xfId="0" applyFont="1" applyFill="1" applyBorder="1" applyAlignment="1" applyProtection="1">
      <alignment horizontal="left" vertical="top"/>
      <protection hidden="1"/>
    </xf>
    <xf numFmtId="0" fontId="9" fillId="2" borderId="1" xfId="0" applyFont="1" applyFill="1" applyBorder="1" applyAlignment="1" applyProtection="1">
      <alignment horizontal="left"/>
      <protection hidden="1"/>
    </xf>
    <xf numFmtId="0" fontId="9" fillId="2" borderId="2" xfId="0" applyFont="1" applyFill="1" applyBorder="1" applyAlignment="1" applyProtection="1">
      <alignment horizontal="left"/>
      <protection hidden="1"/>
    </xf>
    <xf numFmtId="165" fontId="11" fillId="2" borderId="0" xfId="0" applyNumberFormat="1" applyFont="1" applyFill="1" applyAlignment="1" applyProtection="1">
      <alignment horizontal="right"/>
      <protection hidden="1"/>
    </xf>
    <xf numFmtId="0" fontId="14" fillId="2" borderId="0" xfId="0" applyFont="1" applyFill="1" applyProtection="1">
      <protection hidden="1"/>
    </xf>
    <xf numFmtId="0" fontId="22" fillId="2" borderId="0" xfId="0" applyFont="1" applyFill="1" applyAlignment="1" applyProtection="1">
      <alignment horizontal="right"/>
      <protection hidden="1"/>
    </xf>
    <xf numFmtId="0" fontId="6" fillId="0" borderId="0" xfId="0" quotePrefix="1" applyFont="1" applyAlignment="1">
      <alignment horizontal="center"/>
    </xf>
    <xf numFmtId="0" fontId="20" fillId="2" borderId="2" xfId="0" applyFont="1" applyFill="1" applyBorder="1" applyAlignment="1" applyProtection="1">
      <alignment horizontal="right"/>
      <protection hidden="1"/>
    </xf>
    <xf numFmtId="0" fontId="13" fillId="2" borderId="2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15" fillId="2" borderId="4" xfId="0" applyFont="1" applyFill="1" applyBorder="1" applyProtection="1">
      <protection hidden="1"/>
    </xf>
    <xf numFmtId="0" fontId="15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right"/>
      <protection hidden="1"/>
    </xf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10" fillId="2" borderId="1" xfId="0" applyFont="1" applyFill="1" applyBorder="1" applyProtection="1">
      <protection hidden="1"/>
    </xf>
    <xf numFmtId="0" fontId="13" fillId="2" borderId="2" xfId="0" applyFont="1" applyFill="1" applyBorder="1" applyAlignment="1" applyProtection="1">
      <alignment horizontal="right"/>
      <protection hidden="1"/>
    </xf>
    <xf numFmtId="0" fontId="0" fillId="2" borderId="2" xfId="0" applyFill="1" applyBorder="1" applyProtection="1">
      <protection hidden="1"/>
    </xf>
    <xf numFmtId="0" fontId="13" fillId="2" borderId="1" xfId="0" applyFont="1" applyFill="1" applyBorder="1" applyAlignment="1" applyProtection="1">
      <alignment horizontal="left"/>
      <protection hidden="1"/>
    </xf>
    <xf numFmtId="0" fontId="10" fillId="2" borderId="2" xfId="0" applyFont="1" applyFill="1" applyBorder="1" applyProtection="1">
      <protection hidden="1"/>
    </xf>
    <xf numFmtId="0" fontId="23" fillId="2" borderId="2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9" fillId="2" borderId="2" xfId="0" applyFont="1" applyFill="1" applyBorder="1" applyProtection="1">
      <protection hidden="1"/>
    </xf>
    <xf numFmtId="0" fontId="9" fillId="2" borderId="1" xfId="0" applyFont="1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10" fillId="2" borderId="5" xfId="0" applyFont="1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19" fillId="0" borderId="0" xfId="0" applyFont="1" applyAlignment="1">
      <alignment vertical="top"/>
    </xf>
    <xf numFmtId="0" fontId="8" fillId="2" borderId="2" xfId="0" applyFont="1" applyFill="1" applyBorder="1" applyAlignment="1" applyProtection="1">
      <alignment horizontal="left" indent="2"/>
      <protection hidden="1"/>
    </xf>
    <xf numFmtId="0" fontId="9" fillId="2" borderId="2" xfId="0" applyFont="1" applyFill="1" applyBorder="1" applyAlignment="1" applyProtection="1">
      <alignment horizontal="left" indent="1"/>
      <protection hidden="1"/>
    </xf>
    <xf numFmtId="0" fontId="9" fillId="2" borderId="1" xfId="0" applyFont="1" applyFill="1" applyBorder="1" applyAlignment="1" applyProtection="1">
      <alignment horizontal="left" indent="1"/>
      <protection hidden="1"/>
    </xf>
    <xf numFmtId="0" fontId="2" fillId="2" borderId="5" xfId="0" applyFont="1" applyFill="1" applyBorder="1" applyAlignment="1" applyProtection="1">
      <alignment horizontal="left"/>
      <protection hidden="1"/>
    </xf>
    <xf numFmtId="0" fontId="14" fillId="2" borderId="5" xfId="0" applyFont="1" applyFill="1" applyBorder="1" applyProtection="1">
      <protection hidden="1"/>
    </xf>
    <xf numFmtId="0" fontId="13" fillId="2" borderId="5" xfId="0" applyFont="1" applyFill="1" applyBorder="1" applyAlignment="1" applyProtection="1">
      <alignment horizontal="right"/>
      <protection hidden="1"/>
    </xf>
    <xf numFmtId="14" fontId="2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8" fillId="2" borderId="1" xfId="0" applyFont="1" applyFill="1" applyBorder="1" applyProtection="1">
      <protection hidden="1"/>
    </xf>
    <xf numFmtId="0" fontId="0" fillId="0" borderId="0" xfId="0" quotePrefix="1"/>
    <xf numFmtId="0" fontId="1" fillId="2" borderId="0" xfId="0" applyFont="1" applyFill="1" applyAlignment="1" applyProtection="1">
      <alignment horizontal="center"/>
      <protection hidden="1"/>
    </xf>
    <xf numFmtId="0" fontId="7" fillId="3" borderId="9" xfId="0" applyFont="1" applyFill="1" applyBorder="1" applyAlignment="1" applyProtection="1">
      <alignment horizontal="center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>
      <alignment horizontal="center"/>
    </xf>
    <xf numFmtId="0" fontId="7" fillId="5" borderId="0" xfId="0" applyFont="1" applyFill="1" applyAlignment="1" applyProtection="1">
      <alignment horizontal="center"/>
      <protection hidden="1"/>
    </xf>
    <xf numFmtId="0" fontId="9" fillId="0" borderId="0" xfId="0" applyFont="1" applyAlignment="1">
      <alignment vertical="top" wrapText="1"/>
    </xf>
    <xf numFmtId="0" fontId="14" fillId="2" borderId="2" xfId="0" applyFont="1" applyFill="1" applyBorder="1" applyProtection="1">
      <protection hidden="1"/>
    </xf>
    <xf numFmtId="0" fontId="8" fillId="2" borderId="2" xfId="0" applyFont="1" applyFill="1" applyBorder="1" applyProtection="1">
      <protection hidden="1"/>
    </xf>
    <xf numFmtId="16" fontId="0" fillId="2" borderId="0" xfId="0" applyNumberFormat="1" applyFill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14" fontId="18" fillId="4" borderId="3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14" fontId="2" fillId="2" borderId="2" xfId="0" applyNumberFormat="1" applyFont="1" applyFill="1" applyBorder="1" applyProtection="1">
      <protection hidden="1"/>
    </xf>
    <xf numFmtId="0" fontId="0" fillId="0" borderId="2" xfId="0" applyBorder="1" applyProtection="1">
      <protection hidden="1"/>
    </xf>
    <xf numFmtId="0" fontId="9" fillId="0" borderId="1" xfId="0" applyFont="1" applyBorder="1" applyProtection="1">
      <protection hidden="1"/>
    </xf>
    <xf numFmtId="44" fontId="9" fillId="0" borderId="1" xfId="3" applyFont="1" applyBorder="1" applyProtection="1">
      <protection hidden="1"/>
    </xf>
    <xf numFmtId="0" fontId="9" fillId="0" borderId="2" xfId="0" applyFont="1" applyBorder="1" applyProtection="1">
      <protection hidden="1"/>
    </xf>
    <xf numFmtId="2" fontId="9" fillId="0" borderId="2" xfId="0" applyNumberFormat="1" applyFont="1" applyBorder="1" applyProtection="1">
      <protection hidden="1"/>
    </xf>
    <xf numFmtId="0" fontId="9" fillId="0" borderId="5" xfId="0" applyFont="1" applyBorder="1" applyProtection="1">
      <protection hidden="1"/>
    </xf>
    <xf numFmtId="0" fontId="9" fillId="0" borderId="6" xfId="0" applyFont="1" applyBorder="1" applyProtection="1">
      <protection hidden="1"/>
    </xf>
    <xf numFmtId="44" fontId="2" fillId="0" borderId="6" xfId="0" applyNumberFormat="1" applyFont="1" applyBorder="1" applyProtection="1">
      <protection hidden="1"/>
    </xf>
    <xf numFmtId="2" fontId="12" fillId="0" borderId="0" xfId="1" applyNumberFormat="1" applyProtection="1">
      <protection hidden="1"/>
    </xf>
    <xf numFmtId="0" fontId="0" fillId="3" borderId="0" xfId="0" applyFill="1" applyProtection="1">
      <protection hidden="1"/>
    </xf>
    <xf numFmtId="0" fontId="0" fillId="0" borderId="0" xfId="0" applyAlignment="1" applyProtection="1">
      <alignment horizontal="left" vertical="top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9" fillId="0" borderId="1" xfId="0" quotePrefix="1" applyFont="1" applyBorder="1" applyAlignment="1" applyProtection="1">
      <alignment vertical="top" wrapText="1"/>
      <protection hidden="1"/>
    </xf>
    <xf numFmtId="0" fontId="9" fillId="0" borderId="0" xfId="0" quotePrefix="1" applyFont="1" applyAlignment="1" applyProtection="1">
      <alignment horizontal="left" vertical="top" wrapText="1"/>
      <protection hidden="1"/>
    </xf>
    <xf numFmtId="0" fontId="9" fillId="0" borderId="0" xfId="0" quotePrefix="1" applyFont="1" applyAlignment="1" applyProtection="1">
      <alignment vertical="top" wrapText="1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left" vertical="top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9" fillId="3" borderId="1" xfId="0" applyFont="1" applyFill="1" applyBorder="1" applyAlignment="1" applyProtection="1">
      <alignment vertical="top" wrapText="1"/>
      <protection hidden="1"/>
    </xf>
    <xf numFmtId="0" fontId="9" fillId="3" borderId="0" xfId="0" applyFont="1" applyFill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horizontal="left" vertical="top" wrapText="1"/>
      <protection hidden="1"/>
    </xf>
    <xf numFmtId="0" fontId="24" fillId="0" borderId="0" xfId="4" applyAlignment="1" applyProtection="1">
      <alignment vertical="top" wrapText="1"/>
      <protection hidden="1"/>
    </xf>
    <xf numFmtId="0" fontId="24" fillId="0" borderId="0" xfId="4" applyAlignment="1" applyProtection="1">
      <alignment horizontal="left" vertical="top" wrapText="1"/>
      <protection hidden="1"/>
    </xf>
    <xf numFmtId="0" fontId="7" fillId="0" borderId="1" xfId="0" applyFont="1" applyBorder="1" applyAlignment="1" applyProtection="1">
      <alignment vertical="top"/>
      <protection hidden="1"/>
    </xf>
    <xf numFmtId="0" fontId="8" fillId="0" borderId="1" xfId="0" applyFont="1" applyBorder="1" applyAlignment="1" applyProtection="1">
      <alignment vertical="top" wrapText="1"/>
      <protection hidden="1"/>
    </xf>
    <xf numFmtId="14" fontId="2" fillId="0" borderId="1" xfId="0" applyNumberFormat="1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/>
      <protection hidden="1"/>
    </xf>
    <xf numFmtId="0" fontId="8" fillId="0" borderId="2" xfId="0" applyFont="1" applyBorder="1" applyAlignment="1" applyProtection="1">
      <alignment vertical="top" wrapText="1"/>
      <protection hidden="1"/>
    </xf>
    <xf numFmtId="14" fontId="2" fillId="0" borderId="2" xfId="0" applyNumberFormat="1" applyFont="1" applyBorder="1" applyAlignment="1" applyProtection="1">
      <alignment horizontal="right" vertical="top" wrapText="1"/>
      <protection hidden="1"/>
    </xf>
    <xf numFmtId="14" fontId="2" fillId="3" borderId="2" xfId="0" applyNumberFormat="1" applyFont="1" applyFill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 wrapText="1"/>
      <protection hidden="1"/>
    </xf>
    <xf numFmtId="14" fontId="7" fillId="0" borderId="2" xfId="0" applyNumberFormat="1" applyFont="1" applyBorder="1" applyAlignment="1" applyProtection="1">
      <alignment horizontal="right" vertical="top" wrapText="1"/>
      <protection hidden="1"/>
    </xf>
    <xf numFmtId="14" fontId="17" fillId="0" borderId="2" xfId="0" applyNumberFormat="1" applyFont="1" applyBorder="1" applyAlignment="1" applyProtection="1">
      <alignment horizontal="right" vertical="top" wrapText="1"/>
      <protection hidden="1"/>
    </xf>
    <xf numFmtId="0" fontId="0" fillId="0" borderId="0" xfId="0" applyAlignment="1" applyProtection="1">
      <alignment horizontal="right" vertical="top" wrapText="1"/>
      <protection hidden="1"/>
    </xf>
    <xf numFmtId="44" fontId="2" fillId="0" borderId="2" xfId="3" applyFont="1" applyBorder="1" applyAlignment="1" applyProtection="1">
      <alignment horizontal="right" vertical="top" wrapText="1"/>
      <protection hidden="1"/>
    </xf>
    <xf numFmtId="0" fontId="2" fillId="0" borderId="2" xfId="0" quotePrefix="1" applyFont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/>
      <protection hidden="1"/>
    </xf>
    <xf numFmtId="0" fontId="7" fillId="0" borderId="5" xfId="0" applyFont="1" applyBorder="1" applyAlignment="1" applyProtection="1">
      <alignment vertical="top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167" fontId="2" fillId="0" borderId="0" xfId="0" applyNumberFormat="1" applyFon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21" fillId="2" borderId="4" xfId="0" applyFont="1" applyFill="1" applyBorder="1"/>
    <xf numFmtId="0" fontId="1" fillId="3" borderId="10" xfId="0" applyFont="1" applyFill="1" applyBorder="1" applyAlignment="1" applyProtection="1">
      <alignment horizontal="center"/>
      <protection locked="0" hidden="1"/>
    </xf>
    <xf numFmtId="0" fontId="3" fillId="2" borderId="12" xfId="0" applyFont="1" applyFill="1" applyBorder="1" applyAlignment="1" applyProtection="1">
      <alignment horizontal="left"/>
      <protection hidden="1"/>
    </xf>
    <xf numFmtId="0" fontId="8" fillId="3" borderId="11" xfId="0" applyFont="1" applyFill="1" applyBorder="1" applyAlignment="1" applyProtection="1">
      <alignment horizontal="center" vertical="top"/>
      <protection locked="0" hidden="1"/>
    </xf>
    <xf numFmtId="0" fontId="8" fillId="3" borderId="11" xfId="0" applyFont="1" applyFill="1" applyBorder="1" applyAlignment="1" applyProtection="1">
      <alignment horizontal="center"/>
      <protection locked="0" hidden="1"/>
    </xf>
    <xf numFmtId="0" fontId="8" fillId="3" borderId="13" xfId="0" applyFont="1" applyFill="1" applyBorder="1" applyAlignment="1" applyProtection="1">
      <alignment horizontal="center"/>
      <protection locked="0" hidden="1"/>
    </xf>
    <xf numFmtId="0" fontId="7" fillId="3" borderId="13" xfId="0" applyFont="1" applyFill="1" applyBorder="1" applyAlignment="1" applyProtection="1">
      <alignment horizontal="center"/>
      <protection locked="0" hidden="1"/>
    </xf>
    <xf numFmtId="0" fontId="25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24" fillId="0" borderId="0" xfId="4" applyAlignment="1">
      <alignment horizontal="right" vertical="top" wrapText="1"/>
    </xf>
    <xf numFmtId="0" fontId="6" fillId="6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  <protection locked="0" hidden="1"/>
    </xf>
    <xf numFmtId="0" fontId="2" fillId="2" borderId="4" xfId="0" applyFont="1" applyFill="1" applyBorder="1" applyAlignment="1" applyProtection="1">
      <alignment horizontal="left"/>
      <protection hidden="1"/>
    </xf>
    <xf numFmtId="0" fontId="7" fillId="6" borderId="0" xfId="0" applyFont="1" applyFill="1" applyAlignment="1" applyProtection="1">
      <alignment horizontal="center"/>
      <protection hidden="1"/>
    </xf>
    <xf numFmtId="0" fontId="2" fillId="6" borderId="2" xfId="0" applyFont="1" applyFill="1" applyBorder="1" applyAlignment="1" applyProtection="1">
      <alignment horizontal="right" vertical="top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165" fontId="15" fillId="2" borderId="2" xfId="0" applyNumberFormat="1" applyFont="1" applyFill="1" applyBorder="1" applyAlignment="1" applyProtection="1">
      <alignment horizontal="left"/>
      <protection hidden="1"/>
    </xf>
    <xf numFmtId="0" fontId="6" fillId="7" borderId="0" xfId="0" applyFont="1" applyFill="1" applyAlignment="1">
      <alignment horizontal="center"/>
    </xf>
    <xf numFmtId="1" fontId="9" fillId="0" borderId="5" xfId="0" applyNumberFormat="1" applyFont="1" applyBorder="1" applyProtection="1">
      <protection hidden="1"/>
    </xf>
    <xf numFmtId="0" fontId="22" fillId="2" borderId="0" xfId="4" applyFont="1" applyFill="1" applyProtection="1">
      <protection hidden="1"/>
    </xf>
    <xf numFmtId="165" fontId="11" fillId="2" borderId="7" xfId="0" applyNumberFormat="1" applyFont="1" applyFill="1" applyBorder="1" applyAlignment="1" applyProtection="1">
      <alignment horizontal="right"/>
      <protection hidden="1"/>
    </xf>
    <xf numFmtId="166" fontId="8" fillId="2" borderId="1" xfId="0" applyNumberFormat="1" applyFont="1" applyFill="1" applyBorder="1" applyAlignment="1" applyProtection="1">
      <alignment horizontal="right"/>
      <protection hidden="1"/>
    </xf>
    <xf numFmtId="2" fontId="8" fillId="2" borderId="1" xfId="0" applyNumberFormat="1" applyFont="1" applyFill="1" applyBorder="1" applyAlignment="1" applyProtection="1">
      <alignment horizontal="right"/>
      <protection hidden="1"/>
    </xf>
    <xf numFmtId="14" fontId="8" fillId="3" borderId="2" xfId="0" applyNumberFormat="1" applyFont="1" applyFill="1" applyBorder="1" applyAlignment="1" applyProtection="1">
      <alignment horizontal="right"/>
      <protection locked="0" hidden="1"/>
    </xf>
    <xf numFmtId="14" fontId="8" fillId="3" borderId="13" xfId="0" applyNumberFormat="1" applyFont="1" applyFill="1" applyBorder="1" applyAlignment="1" applyProtection="1">
      <alignment horizontal="right"/>
      <protection locked="0" hidden="1"/>
    </xf>
    <xf numFmtId="14" fontId="8" fillId="3" borderId="1" xfId="0" applyNumberFormat="1" applyFont="1" applyFill="1" applyBorder="1" applyAlignment="1" applyProtection="1">
      <alignment horizontal="right"/>
      <protection locked="0" hidden="1"/>
    </xf>
    <xf numFmtId="14" fontId="8" fillId="3" borderId="11" xfId="0" applyNumberFormat="1" applyFont="1" applyFill="1" applyBorder="1" applyAlignment="1" applyProtection="1">
      <alignment horizontal="right"/>
      <protection locked="0" hidden="1"/>
    </xf>
    <xf numFmtId="165" fontId="8" fillId="3" borderId="15" xfId="0" applyNumberFormat="1" applyFont="1" applyFill="1" applyBorder="1" applyAlignment="1" applyProtection="1">
      <alignment horizontal="right"/>
      <protection locked="0" hidden="1"/>
    </xf>
    <xf numFmtId="165" fontId="8" fillId="3" borderId="14" xfId="0" applyNumberFormat="1" applyFont="1" applyFill="1" applyBorder="1" applyAlignment="1" applyProtection="1">
      <alignment horizontal="right"/>
      <protection locked="0" hidden="1"/>
    </xf>
    <xf numFmtId="1" fontId="8" fillId="3" borderId="2" xfId="0" applyNumberFormat="1" applyFont="1" applyFill="1" applyBorder="1" applyAlignment="1" applyProtection="1">
      <alignment horizontal="right"/>
      <protection locked="0" hidden="1"/>
    </xf>
    <xf numFmtId="1" fontId="8" fillId="3" borderId="13" xfId="0" applyNumberFormat="1" applyFont="1" applyFill="1" applyBorder="1" applyAlignment="1" applyProtection="1">
      <alignment horizontal="right"/>
      <protection locked="0" hidden="1"/>
    </xf>
  </cellXfs>
  <cellStyles count="5">
    <cellStyle name="Currency" xfId="3" builtinId="4"/>
    <cellStyle name="Currency 2" xfId="2" xr:uid="{888A8FA2-D739-4A97-B673-B49F5540857C}"/>
    <cellStyle name="Hyperlink" xfId="4" builtinId="8"/>
    <cellStyle name="Normal" xfId="0" builtinId="0"/>
    <cellStyle name="Normal 2" xfId="1" xr:uid="{2E770540-5E59-4C9A-A4D3-94952346ECDF}"/>
  </cellStyles>
  <dxfs count="102"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border>
        <bottom/>
        <vertical/>
        <horizontal/>
      </border>
    </dxf>
    <dxf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protection locked="1" hidden="1"/>
    </dxf>
    <dxf>
      <protection locked="1" hidden="1"/>
    </dxf>
    <dxf>
      <protection locked="1" hidden="1"/>
    </dxf>
    <dxf>
      <numFmt numFmtId="0" formatCode="General"/>
      <protection locked="1" hidden="1"/>
    </dxf>
    <dxf>
      <protection locked="1" hidden="1"/>
    </dxf>
    <dxf>
      <protection locked="1" hidden="1"/>
    </dxf>
    <dxf>
      <font>
        <i/>
      </font>
      <alignment horizontal="left" vertical="top" textRotation="0" wrapText="1" indent="0" justifyLastLine="0" shrinkToFit="0" readingOrder="0"/>
      <protection locked="1" hidden="1"/>
    </dxf>
    <dxf>
      <font>
        <i/>
      </font>
      <alignment vertical="top" textRotation="0" wrapText="1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alignment vertical="top" textRotation="0" indent="0" justifyLastLine="0" shrinkToFit="0" readingOrder="0"/>
      <protection locked="1" hidden="1"/>
    </dxf>
    <dxf>
      <alignment vertical="top" textRotation="0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76199</xdr:rowOff>
    </xdr:from>
    <xdr:to>
      <xdr:col>4</xdr:col>
      <xdr:colOff>71494</xdr:colOff>
      <xdr:row>0</xdr:row>
      <xdr:rowOff>1214754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ED39EB-C5AF-4454-8552-32898576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199"/>
          <a:ext cx="3278648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9AE8D13-0BD6-411D-8467-A2138230F160}" name="TVertaler" displayName="TVertaler" ref="B2:D63" totalsRowShown="0" headerRowDxfId="101" dataDxfId="100">
  <autoFilter ref="B2:D63" xr:uid="{93329B65-3644-4076-B10D-96768E6BFFB7}"/>
  <sortState xmlns:xlrd2="http://schemas.microsoft.com/office/spreadsheetml/2017/richdata2" ref="B3:D53">
    <sortCondition ref="B2:B53"/>
  </sortState>
  <tableColumns count="3">
    <tableColumn id="3" xr3:uid="{A0C58114-A281-4736-B892-1F3535376424}" name="ID" dataDxfId="99"/>
    <tableColumn id="1" xr3:uid="{AB87F954-A09F-4CE1-B886-21821EAC08D3}" name="FR" dataDxfId="98"/>
    <tableColumn id="2" xr3:uid="{2666DAF2-62EB-45FD-B3D5-0CB6E845FDC3}" name="NL" dataDxfId="9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0E7DF-BCD8-4B33-A9D5-6A046C3C8B81}" name="TLijstJaNee" displayName="TLijstJaNee" ref="G2:I5" totalsRowShown="0" headerRowDxfId="96" dataDxfId="95">
  <autoFilter ref="G2:I5" xr:uid="{95C1B23C-E766-4CD6-9C2D-953166F8526A}"/>
  <tableColumns count="3">
    <tableColumn id="1" xr3:uid="{560F447D-7251-4111-BBB8-B056C9AE5136}" name="List1" dataDxfId="94">
      <calculatedColumnFormula>IF(FN="FR",TLijstJaNee[[#This Row],[Fr]],TLijstJaNee[[#This Row],[NL]])</calculatedColumnFormula>
    </tableColumn>
    <tableColumn id="2" xr3:uid="{47E93477-F0A7-4FC0-A4B9-64CCBBFF0963}" name="Fr" dataDxfId="93"/>
    <tableColumn id="3" xr3:uid="{C01B6AF3-3326-4729-878E-4D7124C21EB9}" name="NL" dataDxfId="9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EC3F3EB-678F-4999-AE0F-7A0F4615E62A}" name="TIndexcijfers" displayName="TIndexcijfers" ref="B2:P39" totalsRowShown="0" headerRowDxfId="91" dataDxfId="90">
  <autoFilter ref="B2:P39" xr:uid="{0EC3F3EB-678F-4999-AE0F-7A0F4615E62A}"/>
  <tableColumns count="15">
    <tableColumn id="1" xr3:uid="{972AF118-7219-4341-B233-D3EA9B3B32D6}" name="base 2013" dataDxfId="89"/>
    <tableColumn id="2" xr3:uid="{773C431D-695E-41CE-BC81-3E9E051C5E6A}" name="1" dataDxfId="88"/>
    <tableColumn id="3" xr3:uid="{1CAD74B9-9FEE-45DE-B89D-2E450CD63620}" name="2" dataDxfId="87"/>
    <tableColumn id="4" xr3:uid="{6A4BE6BA-2CC7-4EC3-B573-8DAFD9346CDA}" name="3" dataDxfId="86"/>
    <tableColumn id="5" xr3:uid="{1DCC210E-2F4C-4815-A851-E0C4CCAADDB8}" name="4" dataDxfId="85"/>
    <tableColumn id="6" xr3:uid="{4906EE86-4988-44A3-8C60-88CF07F5B068}" name="5" dataDxfId="84"/>
    <tableColumn id="7" xr3:uid="{687E9BA8-6834-48FD-958C-B118DE8ABC37}" name="6" dataDxfId="83"/>
    <tableColumn id="8" xr3:uid="{8DF8D5A5-1009-4567-8CAA-572079EDF123}" name="7" dataDxfId="82"/>
    <tableColumn id="9" xr3:uid="{B4A318C2-6DA2-480C-9C3C-DDADB7753E2F}" name="8" dataDxfId="81"/>
    <tableColumn id="10" xr3:uid="{4F11CF0C-8298-4C37-9553-BAD1279A802D}" name="9" dataDxfId="80"/>
    <tableColumn id="11" xr3:uid="{610A362A-15D5-4817-8841-90DFFAD69969}" name="10" dataDxfId="79"/>
    <tableColumn id="12" xr3:uid="{3223A093-0F58-4B0A-8CAB-B33F554E82A0}" name="11" dataDxfId="78"/>
    <tableColumn id="13" xr3:uid="{DB23F6EE-AF81-4E5E-9A05-D2E9D21DDFAD}" name="12" dataDxfId="77"/>
    <tableColumn id="14" xr3:uid="{9AA0F82A-C042-48AC-A35F-5016EEEB0291}" name="Year" dataDxfId="76">
      <calculatedColumnFormula>IF(OR(COUNT(TIndexcijfers[[#This Row],[1]:[12]])=12,COUNT(TIndexcijfers[[#This Row],[1]:[12]])=0),0,TIndexcijfers[[#This Row],[base 2013]])</calculatedColumnFormula>
    </tableColumn>
    <tableColumn id="15" xr3:uid="{15139058-27C1-4EC9-9491-8B0548490842}" name="M" dataDxfId="75">
      <calculatedColumnFormula>IF(COUNT(TIndexcijfers[[#This Row],[1]:[12]])=12,0,COUNT(TIndexcijfers[[#This Row],[1]:[12]]))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F38CE59-9A51-4DEF-B163-BBA9A54DC98F}" name="TCorrectiefactor" displayName="TCorrectiefactor" ref="U2:Y15" totalsRowShown="0" headerRowDxfId="74" dataDxfId="73">
  <autoFilter ref="U2:Y15" xr:uid="{8F38CE59-9A51-4DEF-B163-BBA9A54DC98F}"/>
  <tableColumns count="5">
    <tableColumn id="1" xr3:uid="{9C27E8A5-C12A-4723-A93A-7DE3A39F7491}" name="M" dataDxfId="72"/>
    <tableColumn id="5" xr3:uid="{0F1CCD74-009A-4C23-BFD5-2C94AFD8207E}" name="Index1" dataDxfId="71">
      <calculatedColumnFormula>C30</calculatedColumnFormula>
    </tableColumn>
    <tableColumn id="4" xr3:uid="{83980A69-BA98-420F-A856-09C8DC84D9DF}" name="Index2" dataDxfId="70">
      <calculatedColumnFormula>N31</calculatedColumnFormula>
    </tableColumn>
    <tableColumn id="2" xr3:uid="{BECDD3B4-8D21-4928-AFE4-38FB0F9978F2}" name="E" dataDxfId="69"/>
    <tableColumn id="3" xr3:uid="{6973824E-6B76-4FEA-96F4-C5802290964A}" name="FG" dataDxfId="6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ogement.brussels/louer/bail/indexation-des-loyer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tatbel.fgov.be/nl/themas/consumptieprijsindex/consumptieprijsinde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huisvesting.brussels/huren/woninghuurovereenkomst/huurprijsindexatie/" TargetMode="External"/><Relationship Id="rId1" Type="http://schemas.openxmlformats.org/officeDocument/2006/relationships/hyperlink" Target="https://logement.brussels/louer/bail/indexation-des-loyers/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8869-3FE3-487E-B24A-E00F7642CC14}">
  <sheetPr codeName="Sheet1">
    <pageSetUpPr fitToPage="1"/>
  </sheetPr>
  <dimension ref="A1:BE26"/>
  <sheetViews>
    <sheetView tabSelected="1" zoomScaleNormal="100" workbookViewId="0">
      <selection activeCell="H4" sqref="H4"/>
    </sheetView>
  </sheetViews>
  <sheetFormatPr defaultColWidth="0" defaultRowHeight="14.4" zeroHeight="1" x14ac:dyDescent="0.3"/>
  <cols>
    <col min="1" max="1" width="1.33203125" customWidth="1"/>
    <col min="2" max="2" width="29.109375" customWidth="1"/>
    <col min="3" max="3" width="11.6640625" customWidth="1"/>
    <col min="4" max="4" width="7.109375" customWidth="1"/>
    <col min="5" max="5" width="43.33203125" customWidth="1"/>
    <col min="6" max="6" width="1.6640625" customWidth="1"/>
    <col min="7" max="7" width="7.88671875" customWidth="1"/>
    <col min="8" max="8" width="4.5546875" customWidth="1"/>
    <col min="9" max="9" width="0.6640625" style="2" customWidth="1"/>
    <col min="10" max="10" width="3.5546875" customWidth="1"/>
    <col min="11" max="11" width="11.6640625" customWidth="1"/>
    <col min="12" max="12" width="0.6640625" customWidth="1"/>
    <col min="13" max="13" width="11.6640625" customWidth="1"/>
    <col min="14" max="14" width="0.6640625" customWidth="1"/>
    <col min="15" max="15" width="11.6640625" customWidth="1"/>
    <col min="16" max="16" width="0.6640625" customWidth="1"/>
    <col min="17" max="17" width="11.6640625" customWidth="1"/>
    <col min="18" max="18" width="49.109375" customWidth="1"/>
    <col min="19" max="19" width="1.6640625" customWidth="1"/>
    <col min="20" max="20" width="3" customWidth="1"/>
    <col min="21" max="21" width="1.109375" customWidth="1"/>
    <col min="22" max="22" width="8" style="70" hidden="1" customWidth="1"/>
    <col min="23" max="23" width="1.6640625" style="1" hidden="1" customWidth="1"/>
    <col min="24" max="24" width="10" hidden="1" customWidth="1"/>
    <col min="25" max="25" width="5.44140625" hidden="1" customWidth="1"/>
    <col min="26" max="26" width="3.33203125" hidden="1" customWidth="1"/>
    <col min="27" max="28" width="2.109375" style="4" hidden="1" customWidth="1"/>
    <col min="29" max="30" width="2.109375" hidden="1" customWidth="1"/>
    <col min="31" max="31" width="9" hidden="1" customWidth="1"/>
    <col min="32" max="32" width="1.5546875" hidden="1" customWidth="1"/>
    <col min="33" max="33" width="5.109375" style="1" hidden="1" customWidth="1"/>
    <col min="34" max="52" width="1.109375" hidden="1" customWidth="1"/>
    <col min="53" max="53" width="2.5546875" style="1" hidden="1" customWidth="1"/>
    <col min="54" max="57" width="4.6640625" hidden="1" customWidth="1"/>
    <col min="58" max="16384" width="8.6640625" hidden="1"/>
  </cols>
  <sheetData>
    <row r="1" spans="1:54" ht="99.75" customHeigh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55"/>
      <c r="M1" s="55"/>
      <c r="N1" s="55"/>
      <c r="O1" s="55"/>
      <c r="P1" s="55"/>
      <c r="Q1" s="55"/>
      <c r="R1" s="55"/>
      <c r="S1" s="55"/>
      <c r="T1" s="55"/>
      <c r="U1" s="30"/>
      <c r="V1" s="69"/>
      <c r="W1" s="35"/>
      <c r="X1" s="34"/>
      <c r="Y1" s="34"/>
      <c r="AH1" s="10"/>
      <c r="BA1" s="76"/>
    </row>
    <row r="2" spans="1:54" ht="15.6" x14ac:dyDescent="0.3">
      <c r="A2" s="30"/>
      <c r="B2" s="134" t="str">
        <f>IF(FN="NL",VLOOKUP(15,Taal!B2:D63,3,FALSE),VLOOKUP(15,Taal!B2:D63,2,FALSE)) &amp; DAY(Index001)&amp;"/"&amp;MONTH(Index001)&amp;"/"&amp;YEAR(Index001)&amp;"."</f>
        <v>Deze versie is enkel bruikbaar voor het berekenen van de aanpassing van huurprijzen van woninghuurovereenkomsten tot 28/2/2025.</v>
      </c>
      <c r="C2" s="31"/>
      <c r="D2" s="31"/>
      <c r="E2" s="31"/>
      <c r="F2" s="31"/>
      <c r="G2" s="31"/>
      <c r="H2" s="31"/>
      <c r="I2" s="31"/>
      <c r="J2" s="31"/>
      <c r="K2" s="31"/>
      <c r="L2" s="32"/>
      <c r="M2" s="33"/>
      <c r="N2" s="33"/>
      <c r="O2" s="33"/>
      <c r="P2" s="33"/>
      <c r="Q2" s="33"/>
      <c r="R2" s="33"/>
      <c r="S2" s="30"/>
      <c r="T2" s="30"/>
      <c r="U2" s="30"/>
      <c r="V2" s="69"/>
      <c r="W2" s="35"/>
      <c r="X2" s="34"/>
      <c r="Y2" s="34"/>
      <c r="AH2" s="10"/>
    </row>
    <row r="3" spans="1:54" ht="15" customHeight="1" thickBot="1" x14ac:dyDescent="0.35">
      <c r="A3" s="30"/>
      <c r="B3" s="20" t="str">
        <f>IF(FN="NL",VLOOKUP(23,Taal!B2:D63,3,FALSE),VLOOKUP(23,Taal!B2:D63,2,FALSE))&amp;MONTH(Index001)&amp;"/"&amp;YEAR(Index001)&amp;IF(FN="NL",VLOOKUP(51,Taal!B2:D63,3,FALSE),VLOOKUP(51,Taal!B2:D63,2,FALSE)) &amp;DAY(Index002)&amp;"/"&amp;MONTH(Index002)&amp;"/"&amp;YEAR(Index002)</f>
        <v>Eerstvolgende update van de module (= toevoegen van index 2/2025) op 5/3/2025</v>
      </c>
      <c r="C3" s="32"/>
      <c r="D3" s="32"/>
      <c r="E3" s="32"/>
      <c r="F3" s="154" t="str">
        <f>IF(FN="NL",HYPERLINK("https://huisvesting.brussels/huren/woninghuurovereenkomst/huurprijsindexatie/huurprijsindexatie-vanaf-14-oktober-2023-met-correctiefactoren/","Link update"),HYPERLINK("https://logement.brussels/louer/bail/indexation-des-loyers/indexation-des-loyers-a-partir-du-14-octobre-2023-avec-facteurs-de-correction/ ","Link update" ) )</f>
        <v>Link update</v>
      </c>
      <c r="G3" s="154"/>
      <c r="H3" s="154"/>
      <c r="I3" s="32"/>
      <c r="J3" s="32"/>
      <c r="K3" s="32"/>
      <c r="L3" s="32"/>
      <c r="M3" s="33"/>
      <c r="N3" s="33"/>
      <c r="O3" s="33"/>
      <c r="P3" s="33"/>
      <c r="Q3" s="33"/>
      <c r="R3" s="33"/>
      <c r="S3" s="33"/>
      <c r="T3" s="36"/>
      <c r="U3" s="30"/>
      <c r="V3" s="69"/>
      <c r="W3" s="35"/>
      <c r="X3" s="34"/>
      <c r="Y3" s="34"/>
      <c r="BA3" s="77"/>
      <c r="BB3" s="18"/>
    </row>
    <row r="4" spans="1:54" ht="15" customHeight="1" thickTop="1" x14ac:dyDescent="0.3">
      <c r="A4" s="30"/>
      <c r="B4" s="20"/>
      <c r="C4" s="32"/>
      <c r="D4" s="32"/>
      <c r="E4" s="32"/>
      <c r="F4" s="32"/>
      <c r="G4" s="26" t="str">
        <f>Index003</f>
        <v>V2025_2</v>
      </c>
      <c r="H4" s="135" t="s">
        <v>2</v>
      </c>
      <c r="I4" s="67"/>
      <c r="J4" s="32" t="str">
        <f>IF(FN="NL",VLOOKUP(49,Taal!B2:D63,3,FALSE),VLOOKUP(49,Taal!B2:D63,2,FALSE))</f>
        <v>Taalkeuze</v>
      </c>
      <c r="K4" s="32"/>
      <c r="L4" s="32"/>
      <c r="M4" s="33"/>
      <c r="N4" s="33"/>
      <c r="O4" s="33"/>
      <c r="P4" s="33"/>
      <c r="Q4" s="33"/>
      <c r="R4" s="33"/>
      <c r="S4" s="33"/>
      <c r="T4" s="36"/>
      <c r="U4" s="30"/>
      <c r="V4" s="69"/>
      <c r="W4" s="35"/>
      <c r="X4" s="34"/>
      <c r="Y4" s="34"/>
      <c r="BA4" s="77"/>
      <c r="BB4" s="18"/>
    </row>
    <row r="5" spans="1:54" ht="15" customHeight="1" x14ac:dyDescent="0.3">
      <c r="A5" s="30"/>
      <c r="B5" s="13" t="str">
        <f>IF(FN="NL",VLOOKUP(5,Taal!B2:D63,3,FALSE),VLOOKUP(5,Taal!B2:D63,2,FALSE))</f>
        <v>Rekenmodule - Aanpassing van de huurprijs</v>
      </c>
      <c r="C5" s="30"/>
      <c r="D5" s="30"/>
      <c r="E5" s="30"/>
      <c r="F5" s="33"/>
      <c r="G5" s="33"/>
      <c r="H5" s="136"/>
      <c r="I5" s="33"/>
      <c r="J5" s="141" t="s">
        <v>236</v>
      </c>
      <c r="K5" s="142" t="str">
        <f>IF(FN="NL",VLOOKUP(52,Taal!B2:D63,3,FALSE),VLOOKUP(52,Taal!B2:D63,2,FALSE))</f>
        <v>Vul de verschillende velden in.</v>
      </c>
      <c r="L5" s="37"/>
      <c r="M5" s="37"/>
      <c r="N5" s="37"/>
      <c r="O5" s="37"/>
      <c r="P5" s="37"/>
      <c r="Q5" s="37"/>
      <c r="R5" s="37"/>
      <c r="S5" s="37"/>
      <c r="T5" s="37"/>
      <c r="U5" s="30"/>
      <c r="V5" s="69"/>
      <c r="W5" s="38"/>
      <c r="X5" s="38"/>
      <c r="Y5" s="34"/>
      <c r="BA5" s="77"/>
      <c r="BB5" s="17"/>
    </row>
    <row r="6" spans="1:54" x14ac:dyDescent="0.3">
      <c r="A6" s="30"/>
      <c r="B6" s="21" t="str">
        <f>IF(FN="NL",VLOOKUP(6,Taal!B2:D63,3,FALSE),VLOOKUP(6,Taal!B2:D63,2,FALSE))</f>
        <v>- Het betreft een woning gelegen in het Brussels Hoofdstedelijk Gewest?</v>
      </c>
      <c r="C6" s="39"/>
      <c r="D6" s="39"/>
      <c r="E6" s="39"/>
      <c r="F6" s="40"/>
      <c r="G6" s="40"/>
      <c r="H6" s="137"/>
      <c r="I6" s="33"/>
      <c r="J6" s="41" t="str">
        <f>IF(AC6=1,IF(FN="NL",VLOOKUP(7,Taal!B2:D63,3,FALSE),VLOOKUP(7,Taal!B2:D63,2,FALSE)),"")</f>
        <v/>
      </c>
      <c r="K6" s="42"/>
      <c r="L6" s="42"/>
      <c r="M6" s="42"/>
      <c r="N6" s="42"/>
      <c r="O6" s="42"/>
      <c r="P6" s="42"/>
      <c r="Q6" s="42"/>
      <c r="R6" s="42"/>
      <c r="S6" s="42"/>
      <c r="T6" s="42"/>
      <c r="U6" s="30"/>
      <c r="V6" s="69"/>
      <c r="W6" s="38"/>
      <c r="X6" s="38"/>
      <c r="Y6" s="34"/>
      <c r="AA6" s="4">
        <f>IF(OR(H6="Nee",H6="Non",H6=""),0,1)</f>
        <v>0</v>
      </c>
      <c r="AC6" s="4">
        <f>IF(OR(H6="Nee",H6="Non"),1,0)</f>
        <v>0</v>
      </c>
      <c r="AD6" s="4"/>
    </row>
    <row r="7" spans="1:54" ht="15" customHeight="1" x14ac:dyDescent="0.3">
      <c r="A7" s="30"/>
      <c r="B7" s="22" t="str">
        <f>IF(FN="NL",VLOOKUP(1,Taal!B2:D63,3,FALSE),VLOOKUP(1,Taal!B2:D63,2,FALSE))</f>
        <v>- Het betreft een woninghuurovereenkomst?</v>
      </c>
      <c r="C7" s="43"/>
      <c r="D7" s="43"/>
      <c r="E7" s="43"/>
      <c r="F7" s="43"/>
      <c r="G7" s="43"/>
      <c r="H7" s="138"/>
      <c r="I7" s="33"/>
      <c r="J7" s="41" t="str">
        <f>IF(AC7=1,IF(FN="NL",VLOOKUP(56,Taal!B2:D63,3,FALSE),VLOOKUP(56,Taal!B2:D63,2,FALSE)),"")</f>
        <v/>
      </c>
      <c r="K7" s="42"/>
      <c r="L7" s="44"/>
      <c r="M7" s="14"/>
      <c r="N7" s="14"/>
      <c r="O7" s="14"/>
      <c r="P7" s="14"/>
      <c r="Q7" s="14"/>
      <c r="R7" s="14"/>
      <c r="S7" s="45"/>
      <c r="T7" s="46"/>
      <c r="U7" s="30"/>
      <c r="V7" s="69">
        <f>IF(OR(H6="",AC6=1),1,0)</f>
        <v>1</v>
      </c>
      <c r="W7" s="38"/>
      <c r="X7" s="38"/>
      <c r="Y7" s="34"/>
      <c r="AA7" s="4">
        <f>IF(OR(H7="Nee",H7="Non",H7=""),0,1)</f>
        <v>0</v>
      </c>
      <c r="AC7" s="4">
        <f>IF(OR(H7="Nee",H7="Non"),1,0)</f>
        <v>0</v>
      </c>
      <c r="AD7" s="4"/>
      <c r="BA7" s="77"/>
      <c r="BB7" s="17"/>
    </row>
    <row r="8" spans="1:54" ht="15" customHeight="1" x14ac:dyDescent="0.3">
      <c r="A8" s="30"/>
      <c r="B8" s="23" t="str">
        <f>IF(FN="NL",VLOOKUP(30,Taal!B2:D63,3,FALSE),VLOOKUP(30,Taal!B2:D63,2,FALSE))</f>
        <v>- Het betreft een schriftelijke woninghuurovereenkomst?</v>
      </c>
      <c r="C8" s="46"/>
      <c r="D8" s="46"/>
      <c r="E8" s="46"/>
      <c r="F8" s="46"/>
      <c r="G8" s="46"/>
      <c r="H8" s="139"/>
      <c r="I8" s="33"/>
      <c r="J8" s="41" t="str">
        <f>IF(AC8=1,IF(FN="NL",VLOOKUP(29,Taal!B2:D63,3,FALSE),VLOOKUP(29,Taal!B2:D63,2,FALSE)),"")</f>
        <v/>
      </c>
      <c r="K8" s="14"/>
      <c r="L8" s="44"/>
      <c r="M8" s="14"/>
      <c r="N8" s="14"/>
      <c r="O8" s="14"/>
      <c r="P8" s="14"/>
      <c r="Q8" s="14"/>
      <c r="R8" s="14"/>
      <c r="S8" s="46"/>
      <c r="T8" s="46"/>
      <c r="U8" s="30"/>
      <c r="V8" s="69">
        <f>IF(OR(V7=1,H7="",AC7=1),1,0)</f>
        <v>1</v>
      </c>
      <c r="W8" s="38"/>
      <c r="X8" s="38"/>
      <c r="Y8" s="34"/>
      <c r="AA8" s="4">
        <f>IF(OR(H8="Nee",H8="Non",H8=""),0,1)</f>
        <v>0</v>
      </c>
      <c r="AC8" s="4">
        <f>IF(OR(H8="Nee",H8="Non"),1,0)</f>
        <v>0</v>
      </c>
      <c r="AD8" s="4"/>
      <c r="AE8" s="4">
        <f>IF(MONTH(Startdatum)=10,IF(DAY(Startdatum)&lt;14,"10a","10b"),MONTH(Startdatum))</f>
        <v>1</v>
      </c>
      <c r="AG8" s="4">
        <f ca="1">IF(Index052&gt;Index001,0,1)</f>
        <v>1</v>
      </c>
      <c r="AH8" s="11"/>
      <c r="BA8" s="78"/>
    </row>
    <row r="9" spans="1:54" ht="15" customHeight="1" x14ac:dyDescent="0.3">
      <c r="A9" s="30"/>
      <c r="B9" s="22" t="str">
        <f>IF(FN="NL",VLOOKUP(48,Taal!B2:D63,3,FALSE),VLOOKUP(48,Taal!B2:D63,2,FALSE))</f>
        <v>- Datum van de ondertekening van de huurovereenkomst. (dd/mm/jjjj) of (?)</v>
      </c>
      <c r="C9" s="43"/>
      <c r="D9" s="43"/>
      <c r="E9" s="43"/>
      <c r="F9" s="43"/>
      <c r="G9" s="158"/>
      <c r="H9" s="159"/>
      <c r="I9" s="33"/>
      <c r="J9" s="68"/>
      <c r="K9" s="74" t="str">
        <f ca="1">IF(X9="Gn wrd",IF(FN="NL",VLOOKUP(60,Taal!B2:D63,3,FALSE),VLOOKUP(60,Taal!B2:D63,2,FALSE)),IF(G9&gt;TODAY(),IF(FN="NL",VLOOKUP(40,Taal!B2:D63,3,FALSE),VLOOKUP(40,Taal!B2:D63,2,FALSE)),""))</f>
        <v/>
      </c>
      <c r="L9" s="48"/>
      <c r="M9" s="73"/>
      <c r="N9" s="73"/>
      <c r="O9" s="73"/>
      <c r="P9" s="73"/>
      <c r="Q9" s="73"/>
      <c r="R9" s="73"/>
      <c r="S9" s="46"/>
      <c r="T9" s="46"/>
      <c r="U9" s="30"/>
      <c r="V9" s="69">
        <f>IF(OR(V8=1,H8=""),1,0)</f>
        <v>1</v>
      </c>
      <c r="W9" s="38"/>
      <c r="X9" s="149">
        <f>IFERROR(SignDat+0,"Gn wrd")</f>
        <v>0</v>
      </c>
      <c r="Y9" s="34"/>
      <c r="AA9" s="4">
        <f>IF(OR(AND(G9="",J9="")),0,1)</f>
        <v>0</v>
      </c>
      <c r="AC9" s="4"/>
      <c r="AD9" s="4"/>
      <c r="AE9" s="10" t="str">
        <f>IF(SignDat&gt;1,SignDat,IF(SignDatOnbekend="?",Startdatum,"---"))</f>
        <v>---</v>
      </c>
      <c r="AG9" s="4"/>
      <c r="AH9" s="11"/>
      <c r="BA9" s="78"/>
    </row>
    <row r="10" spans="1:54" ht="15" customHeight="1" x14ac:dyDescent="0.3">
      <c r="A10" s="30"/>
      <c r="B10" s="22" t="str">
        <f>IF(FN="NL",VLOOKUP(10,Taal!B2:D63,3,FALSE),VLOOKUP(10,Taal!B2:D63,2,FALSE))</f>
        <v>- Startdatum van de woninghuurovereenkomst. (dd/mm/jjjj)</v>
      </c>
      <c r="C10" s="43"/>
      <c r="D10" s="43"/>
      <c r="E10" s="43"/>
      <c r="F10" s="43"/>
      <c r="G10" s="160"/>
      <c r="H10" s="161"/>
      <c r="I10" s="33"/>
      <c r="J10" s="65" t="str">
        <f>IF(Startdatum&gt;Index001,IF(FN="NL",VLOOKUP(45,Taal!B2:D63,3,FALSE),VLOOKUP(45,Taal!B2:D63,2,FALSE)),IF(Startdatum&lt;Contractdatum,IF(FN="NL",VLOOKUP(40,Taal!B2:D63,3,FALSE),VLOOKUP(40,Taal!B2:D63,2,FALSE)),""))</f>
        <v>Ben je zeker van deze datum? Indien ja, negeer deze bemerking.</v>
      </c>
      <c r="K10" s="14"/>
      <c r="L10" s="14"/>
      <c r="M10" s="14"/>
      <c r="N10" s="14"/>
      <c r="O10" s="14"/>
      <c r="P10" s="14"/>
      <c r="Q10" s="14"/>
      <c r="R10" s="14"/>
      <c r="S10" s="43"/>
      <c r="T10" s="43"/>
      <c r="U10" s="30"/>
      <c r="V10" s="69">
        <f>IF(OR(X9="Gn wrd",V9=1,AND(G9="",J9="")),1,0)</f>
        <v>1</v>
      </c>
      <c r="W10" s="38"/>
      <c r="X10" s="38">
        <f>IF(Startdatum&gt;0,IF(DATE(YEAR(Startdatum)+1,MONTH(Startdatum),DAY(Startdatum))&gt;=Index005,1,0),2)</f>
        <v>2</v>
      </c>
      <c r="Y10" s="34"/>
      <c r="AA10" s="4">
        <f>IF(OR(G10=""),0,1)</f>
        <v>0</v>
      </c>
      <c r="AC10" s="4">
        <f>IF(OR(MondelingeOvereenkomst=1,GeenIndexatie=0),0,IF(Startdatum="",2,IF(AND(Startdatum&lt;Index005,Startdatum&lt;&gt;"",Startdatum&lt;Index004,OR(Energieklasse2="E",Energieklasse2="F",Energieklasse2="G")),1,0)))</f>
        <v>0</v>
      </c>
      <c r="AD10" s="4"/>
      <c r="AE10" s="4">
        <f ca="1">IF(Startdatum=Index015,1,0)</f>
        <v>0</v>
      </c>
      <c r="AG10" s="4">
        <f ca="1">IF(OR(Startdatum&lt;Contractdatum,Startdatum&gt;TODAY()),1,0)</f>
        <v>1</v>
      </c>
      <c r="BA10" s="78"/>
      <c r="BB10" s="17"/>
    </row>
    <row r="11" spans="1:54" ht="15" customHeight="1" x14ac:dyDescent="0.3">
      <c r="A11" s="30"/>
      <c r="B11" s="22" t="str">
        <f>IF(FN="NL",VLOOKUP(31,Taal!B2:D63,3,FALSE),VLOOKUP(31,Taal!B2:D63,2,FALSE))</f>
        <v>- Sluit het contract de indexering uitdrukkelijk uit?</v>
      </c>
      <c r="C11" s="43"/>
      <c r="D11" s="43"/>
      <c r="E11" s="43"/>
      <c r="F11" s="43"/>
      <c r="G11" s="43"/>
      <c r="H11" s="139"/>
      <c r="I11" s="33"/>
      <c r="J11" s="60"/>
      <c r="K11" s="61"/>
      <c r="L11" s="54"/>
      <c r="M11" s="61"/>
      <c r="N11" s="61"/>
      <c r="O11" s="61"/>
      <c r="P11" s="61"/>
      <c r="Q11" s="61"/>
      <c r="R11" s="61"/>
      <c r="S11" s="62"/>
      <c r="T11" s="53"/>
      <c r="U11" s="30"/>
      <c r="V11" s="69">
        <f>IF(OR(Startdatum="",V10=1,MondelingeOvereenkomst=1,Startdatum&gt;Index001),1,0)</f>
        <v>1</v>
      </c>
      <c r="W11" s="38"/>
      <c r="X11" s="38"/>
      <c r="Y11" s="34"/>
      <c r="AA11" s="4">
        <f>IF(MondelingeOvereenkomst=1,1,IF(OR(H11=""),0,1))</f>
        <v>0</v>
      </c>
      <c r="AC11" s="4">
        <f>IF(OR(H11="Nee",H11="Non"),1,0)</f>
        <v>0</v>
      </c>
      <c r="AD11" s="4"/>
      <c r="BA11" s="77"/>
      <c r="BB11" s="17"/>
    </row>
    <row r="12" spans="1:54" ht="15" customHeight="1" x14ac:dyDescent="0.3">
      <c r="A12" s="30"/>
      <c r="B12" s="23" t="str">
        <f>IF(FN="NL",VLOOKUP(2,Taal!B2:D63,3,FALSE),VLOOKUP(2,Taal!B2:D63,2,FALSE))</f>
        <v>- De schriftelijke woninghuurovereenkomst is geregistreerd?</v>
      </c>
      <c r="C12" s="46"/>
      <c r="D12" s="46"/>
      <c r="E12" s="46"/>
      <c r="F12" s="46"/>
      <c r="G12" s="46"/>
      <c r="H12" s="139"/>
      <c r="I12" s="33"/>
      <c r="J12" s="41" t="str">
        <f>IF(AC12=1,IF(FN="NL",VLOOKUP(8,Taal!B2:D63,3,FALSE),VLOOKUP(8,Taal!B2:D63,2,FALSE)),"")</f>
        <v/>
      </c>
      <c r="K12" s="41"/>
      <c r="L12" s="44"/>
      <c r="M12" s="19"/>
      <c r="N12" s="19"/>
      <c r="O12" s="19"/>
      <c r="P12" s="19"/>
      <c r="Q12" s="19"/>
      <c r="R12" s="19"/>
      <c r="S12" s="43"/>
      <c r="T12" s="43"/>
      <c r="U12" s="30"/>
      <c r="V12" s="69">
        <f>IF(OR(V11=1,H11="",GeenIndexatie=0),1,0)</f>
        <v>1</v>
      </c>
      <c r="W12" s="38"/>
      <c r="X12" s="38"/>
      <c r="Y12" s="34"/>
      <c r="AA12" s="4">
        <f>IF(OR(MondelingeOvereenkomst=1,GeenIndexatie=0),1,IF(OR(H12=""),0,1))</f>
        <v>1</v>
      </c>
      <c r="AC12" s="152">
        <f>IF(OR(H12="Nee",H12="Non"),1,0)</f>
        <v>0</v>
      </c>
      <c r="AD12" s="4"/>
      <c r="AE12" s="5" t="str">
        <f>IF(DAY(Startdatum)&lt;14,"10a","10b")</f>
        <v>10a</v>
      </c>
      <c r="AG12" s="5" t="str">
        <f>Index067</f>
        <v>No</v>
      </c>
      <c r="BA12" s="77"/>
      <c r="BB12" s="17"/>
    </row>
    <row r="13" spans="1:54" ht="15" customHeight="1" x14ac:dyDescent="0.3">
      <c r="A13" s="30"/>
      <c r="B13" s="23" t="str">
        <f>IF(FN="NL",VLOOKUP(33,Taal!B2:D63,3,FALSE),VLOOKUP(33,Taal!B2:D63,2,FALSE))</f>
        <v>- Datum waarop het contract werd geregistreerd  (dd/mm/jjjj) of onbekend (?).</v>
      </c>
      <c r="C13" s="46"/>
      <c r="D13" s="46"/>
      <c r="E13" s="46"/>
      <c r="F13" s="46"/>
      <c r="G13" s="158"/>
      <c r="H13" s="159"/>
      <c r="I13" s="33"/>
      <c r="J13" s="68"/>
      <c r="K13" s="57" t="e">
        <f ca="1">IF(AC13=1,IF(FN="NL",VLOOKUP(40,Taal!B2:D63,3,FALSE),VLOOKUP(40,Taal!B2:D63,2,FALSE)),IF(AC13=2,IF(FN="NL",VLOOKUP(47,Taal!B2:D63,3,FALSE),VLOOKUP(47,Taal!B2:D63,2,FALSE)),""))</f>
        <v>#NUM!</v>
      </c>
      <c r="L13" s="48"/>
      <c r="M13" s="28"/>
      <c r="N13" s="28"/>
      <c r="O13" s="28"/>
      <c r="P13" s="28"/>
      <c r="Q13" s="28"/>
      <c r="R13" s="28"/>
      <c r="S13" s="46"/>
      <c r="T13" s="46"/>
      <c r="U13" s="30"/>
      <c r="V13" s="69">
        <f>IF(OR(V12=1,H12="",NietGeregistreerd=1),1,0)</f>
        <v>1</v>
      </c>
      <c r="W13" s="38"/>
      <c r="X13" s="38"/>
      <c r="Y13" s="34"/>
      <c r="AA13" s="4">
        <f>IF(OR(MondelingeOvereenkomst=1,GeenIndexatie=0,NietGeregistreerd=1),1,IF(OR(AND(G13="",J13="")),0,1))</f>
        <v>1</v>
      </c>
      <c r="AC13" s="4" t="e">
        <f ca="1">IF(Registratiedatum&lt;Index042,1,IF(Registratiedatum&gt;TODAY(),2,0))</f>
        <v>#NUM!</v>
      </c>
      <c r="AD13" s="4"/>
      <c r="AE13" s="10" t="str">
        <f>IF(RegDat1&gt;1,RegDat1,IF(RegDatOnbekend="?",Startdatum,"---"))</f>
        <v>---</v>
      </c>
      <c r="BA13" s="77"/>
      <c r="BB13" s="18"/>
    </row>
    <row r="14" spans="1:54" ht="15" customHeight="1" x14ac:dyDescent="0.3">
      <c r="A14" s="30"/>
      <c r="B14" s="23" t="str">
        <f>IF(FN="NL",VLOOKUP(3,Taal!B2:D63,3,FALSE),VLOOKUP(3,Taal!B2:D63,2,FALSE))</f>
        <v>- Is het EPB-certificaat aan de huurder voorgelegd?</v>
      </c>
      <c r="C14" s="46"/>
      <c r="D14" s="46"/>
      <c r="E14" s="46"/>
      <c r="F14" s="46"/>
      <c r="G14" s="46"/>
      <c r="H14" s="139"/>
      <c r="I14" s="33"/>
      <c r="J14" s="146" t="str">
        <f>IF(AC14=1,IF(FN="NL",VLOOKUP(37,Taal!B2:D63,3,FALSE),VLOOKUP(37,Taal!B2:D63,2,FALSE)),"")</f>
        <v/>
      </c>
      <c r="K14" s="47"/>
      <c r="L14" s="44"/>
      <c r="M14" s="15"/>
      <c r="N14" s="15"/>
      <c r="O14" s="15"/>
      <c r="P14" s="15"/>
      <c r="Q14" s="15"/>
      <c r="R14" s="15"/>
      <c r="S14" s="43"/>
      <c r="T14" s="43"/>
      <c r="U14" s="30"/>
      <c r="V14" s="69">
        <f>IF(OR(AND(G13="",J13=""),V13=1),1,0)</f>
        <v>1</v>
      </c>
      <c r="W14" s="38"/>
      <c r="X14" s="38"/>
      <c r="Y14" s="34"/>
      <c r="AA14" s="4">
        <f>IF(OR(MondelingeOvereenkomst=1,GeenIndexatie=0,NietGeregistreerd=1),1,IF(OR(H14=""),0,1))</f>
        <v>1</v>
      </c>
      <c r="AC14" s="4">
        <f>IF(OR(H14="Nee",H14="Non"),1,0)</f>
        <v>0</v>
      </c>
      <c r="AD14" s="4"/>
      <c r="BA14" s="77"/>
      <c r="BB14" s="16"/>
    </row>
    <row r="15" spans="1:54" ht="15" customHeight="1" x14ac:dyDescent="0.3">
      <c r="A15" s="30"/>
      <c r="B15" s="58" t="str">
        <f>IF(FN="NL",VLOOKUP(38,Taal!B2:D63,3,FALSE),VLOOKUP(38,Taal!B2:D63,2,FALSE))</f>
        <v>Datum waarop het EPB-certificaat aan de huurder werd voorgelegd  (dd/mm/jjjj) of onbekend (?).</v>
      </c>
      <c r="C15" s="46"/>
      <c r="D15" s="46"/>
      <c r="E15" s="46"/>
      <c r="F15" s="46"/>
      <c r="G15" s="158"/>
      <c r="H15" s="159"/>
      <c r="I15" s="33"/>
      <c r="J15" s="145"/>
      <c r="K15" s="57" t="str">
        <f ca="1">IF(EPBDatum&gt;TODAY(),IF(FN="NL",VLOOKUP(40,Taal!B2:D63,3,FALSE),VLOOKUP(40,Taal!B2:D63,2,FALSE)),"")</f>
        <v>Ben je zeker van deze datum? Indien ja, negeer deze bemerking.</v>
      </c>
      <c r="L15" s="49"/>
      <c r="M15" s="29"/>
      <c r="N15" s="29"/>
      <c r="O15" s="29"/>
      <c r="P15" s="29"/>
      <c r="Q15" s="29"/>
      <c r="R15" s="29"/>
      <c r="S15" s="50"/>
      <c r="T15" s="50"/>
      <c r="U15" s="30"/>
      <c r="V15" s="69">
        <f>IF(OR(H14="",V14=1,EPBVoorgelegd=1),1,0)</f>
        <v>1</v>
      </c>
      <c r="W15" s="38"/>
      <c r="X15" s="38"/>
      <c r="Y15" s="34"/>
      <c r="AA15" s="4">
        <f>IF(OR(MondelingeOvereenkomst=1,GeenIndexatie=0,NietGeregistreerd=1,EPBVoorgelegd=1),1,IF(OR(AND(G15="",J15="")),0,1))</f>
        <v>1</v>
      </c>
      <c r="AC15" s="4" t="e">
        <f ca="1">IF(OR(EPBDatum&lt;Index042,EPBDatum&gt;TODAY()),1,0)</f>
        <v>#NUM!</v>
      </c>
      <c r="AD15" s="4"/>
      <c r="AE15" s="10" t="str">
        <f>IF(EPBDat1&gt;1,EPBDat1,IF(EPBDatOnbekend="?",Startdatum,"---"))</f>
        <v>---</v>
      </c>
      <c r="BA15" s="77"/>
      <c r="BB15" s="16"/>
    </row>
    <row r="16" spans="1:54" ht="15" customHeight="1" x14ac:dyDescent="0.3">
      <c r="A16" s="30"/>
      <c r="B16" s="58" t="str">
        <f>IF(FN="NL",VLOOKUP(9,Taal!B2:D63,3,FALSE),VLOOKUP(9,Taal!B2:D63,2,FALSE))</f>
        <v xml:space="preserve">Energieklasse van het EPB-certificaat: </v>
      </c>
      <c r="C16" s="51"/>
      <c r="D16" s="51"/>
      <c r="E16" s="51"/>
      <c r="F16" s="46"/>
      <c r="G16" s="43"/>
      <c r="H16" s="140"/>
      <c r="I16" s="33"/>
      <c r="J16" s="33"/>
      <c r="K16" s="30"/>
      <c r="L16" s="37"/>
      <c r="M16" s="25"/>
      <c r="N16" s="25"/>
      <c r="O16" s="25"/>
      <c r="P16" s="25"/>
      <c r="Q16" s="25"/>
      <c r="R16" s="25"/>
      <c r="S16" s="37"/>
      <c r="T16" s="30"/>
      <c r="U16" s="30"/>
      <c r="V16" s="69">
        <f>IF(OR(V15=1,AND(G15="",J15="")),1,0)</f>
        <v>1</v>
      </c>
      <c r="W16" s="38"/>
      <c r="X16" s="38"/>
      <c r="Y16" s="34"/>
      <c r="AA16" s="144">
        <f>IF(OR(MondelingeOvereenkomst=1,GeenIndexatie=0,NietGeregistreerd=1,EPBVoorgelegd=1),1,IF(OR(H16="Nee",H16="Non",H16=""),0,1))</f>
        <v>1</v>
      </c>
      <c r="AC16" s="144">
        <f>IF(OR(H16="Nee",H16="Non"),1,0)</f>
        <v>0</v>
      </c>
      <c r="AD16" s="4"/>
      <c r="AE16" s="4">
        <f>IF(OR(Energieklasse2="A",Energieklasse2="B",Energieklasse2="C",Energieklasse2="D"),1,0)</f>
        <v>0</v>
      </c>
      <c r="AG16" s="1">
        <f>H16</f>
        <v>0</v>
      </c>
      <c r="AZ16" s="8"/>
      <c r="BA16" s="77"/>
      <c r="BB16" s="17"/>
    </row>
    <row r="17" spans="1:54" ht="15" customHeight="1" x14ac:dyDescent="0.3">
      <c r="A17" s="30"/>
      <c r="B17" s="58" t="str">
        <f>IF(FN="NL",VLOOKUP(57,Taal!B2:D63,3,FALSE),VLOOKUP(57,Taal!B2:D63,2,FALSE))</f>
        <v>Werd de huurprijs reeds geindexeerd?</v>
      </c>
      <c r="C17" s="51"/>
      <c r="D17" s="51"/>
      <c r="E17" s="51"/>
      <c r="F17" s="46"/>
      <c r="G17" s="46"/>
      <c r="H17" s="139"/>
      <c r="I17" s="33"/>
      <c r="J17" s="30"/>
      <c r="K17" s="30"/>
      <c r="L17" s="37"/>
      <c r="M17" s="25"/>
      <c r="N17" s="25"/>
      <c r="O17" s="25"/>
      <c r="P17" s="25"/>
      <c r="Q17" s="25"/>
      <c r="R17" s="25"/>
      <c r="S17" s="37"/>
      <c r="T17" s="30"/>
      <c r="U17" s="30"/>
      <c r="V17" s="147">
        <f>IF(OR(V12=1,AND(H12=""),AND(AA12=1,AG12="No")),1,0)</f>
        <v>1</v>
      </c>
      <c r="W17" s="38"/>
      <c r="X17" s="38">
        <f>LEN(H17)</f>
        <v>0</v>
      </c>
      <c r="Y17" s="34">
        <f>IF(OR(H17="Nee",H17="Non"),1,0)</f>
        <v>0</v>
      </c>
      <c r="AA17" s="4">
        <f>IF(OR(H17="Oui",H17="Ja"),1,0)</f>
        <v>0</v>
      </c>
      <c r="AC17" s="144">
        <f>IF(OR(H17="Non",H17="Nee"),1,0)</f>
        <v>0</v>
      </c>
      <c r="AD17" s="4"/>
      <c r="AE17" s="4"/>
      <c r="AZ17" s="8"/>
      <c r="BA17" s="77"/>
      <c r="BB17" s="17"/>
    </row>
    <row r="18" spans="1:54" ht="15" customHeight="1" x14ac:dyDescent="0.3">
      <c r="A18" s="30"/>
      <c r="B18" s="58" t="e">
        <f>IF(FN="NL",VLOOKUP(58,Taal!B2:D63,3,FALSE),VLOOKUP(58,Taal!B2:D63,2,FALSE))</f>
        <v>#VALUE!</v>
      </c>
      <c r="C18" s="51"/>
      <c r="D18" s="51"/>
      <c r="E18" s="51"/>
      <c r="F18" s="46"/>
      <c r="G18" s="164"/>
      <c r="H18" s="165"/>
      <c r="I18" s="33"/>
      <c r="J18" s="145"/>
      <c r="K18" s="150" t="str">
        <f>IF(X18=1,IF(FN="NL",VLOOKUP(61,Taal!B2:D63,3,FALSE),VLOOKUP(61,Taal!B2:D63,2,FALSE)),"")</f>
        <v/>
      </c>
      <c r="L18" s="37"/>
      <c r="M18" s="25"/>
      <c r="N18" s="25"/>
      <c r="O18" s="25"/>
      <c r="P18" s="25"/>
      <c r="Q18" s="25"/>
      <c r="R18" s="25"/>
      <c r="S18" s="37"/>
      <c r="T18" s="30"/>
      <c r="U18" s="30"/>
      <c r="V18" s="69">
        <f>IF(AND(V17=0,AA17=1,X10&lt;&gt;2),0,1)</f>
        <v>1</v>
      </c>
      <c r="W18" s="38"/>
      <c r="X18" s="38">
        <f>IFERROR(IF(AND(G18&lt;&gt;"",OR(G18&lt;Index008,G18&gt;Y18)),1,0),0)</f>
        <v>0</v>
      </c>
      <c r="Y18" s="4">
        <f>IF(OR(AND(MONTH(Startdatum)=10,DAY(Startdatum)&gt;13),MONTH(Startdatum)&gt;10),2021,2022)</f>
        <v>2022</v>
      </c>
      <c r="Z18" s="4">
        <f>IF(Y18=2022,15,14)</f>
        <v>15</v>
      </c>
      <c r="AA18" s="4">
        <f>IF(OR(G18&gt;0,J18&lt;&gt;""),1,0)</f>
        <v>0</v>
      </c>
      <c r="AC18" s="144"/>
      <c r="AD18" s="4"/>
      <c r="AE18" s="4"/>
      <c r="AZ18" s="8"/>
      <c r="BA18" s="77"/>
      <c r="BB18" s="17"/>
    </row>
    <row r="19" spans="1:54" ht="15" customHeight="1" thickBot="1" x14ac:dyDescent="0.35">
      <c r="A19" s="30"/>
      <c r="B19" s="58" t="str">
        <f>IF(FN="NL",VLOOKUP(11,Taal!B2:D63,3,FALSE),VLOOKUP(11,Taal!B2:D63,2,FALSE))&amp;DAY(Startdatum)&amp;"/"&amp;MONTH(Startdatum)&amp;"/"&amp;YEAR(Startdatum)</f>
        <v>Basishuurprijs op 0/1/1900</v>
      </c>
      <c r="C19" s="51"/>
      <c r="D19" s="51"/>
      <c r="E19" s="51"/>
      <c r="F19" s="46"/>
      <c r="G19" s="162"/>
      <c r="H19" s="163"/>
      <c r="I19" s="33"/>
      <c r="J19" s="150" t="str">
        <f>IF(X19="Gn wrd",IF(FN="NL",VLOOKUP(59,Taal!B2:D63,3,FALSE),VLOOKUP(59,Taal!B2:D63,2,FALSE)),"")</f>
        <v/>
      </c>
      <c r="K19" s="30"/>
      <c r="L19" s="37"/>
      <c r="M19" s="37"/>
      <c r="N19" s="37"/>
      <c r="O19" s="37"/>
      <c r="P19" s="37"/>
      <c r="Q19" s="37"/>
      <c r="R19" s="37"/>
      <c r="S19" s="30"/>
      <c r="T19" s="30"/>
      <c r="U19" s="30"/>
      <c r="V19" s="71">
        <f>IF(OR(AND(MondelingeOvereenkomst=1,V10=0,Startdatum&lt;&gt;""),AND(NietGeregistreerd=1,V12=0,H17&lt;&gt;"",AA18=1,X18=0),AND(NietGeregistreerd=1,X10 = 1,V12=0,Y17=1),AND(EPBVoorgelegd=1,V14=0),AND(NietGeregistreerd=0,V16=0,H16&lt;&gt;"",Energieklasse2&lt;&gt;"")),0,IF(AND(GeenIndexatie=0,V10=0,G10&lt;&gt;"",H11&lt;&gt;""),0,1))</f>
        <v>1</v>
      </c>
      <c r="W19" s="38"/>
      <c r="X19" s="149">
        <f>IFERROR(Basishuurprijs+0,"Gn wrd")</f>
        <v>0</v>
      </c>
      <c r="Y19" s="34"/>
      <c r="AC19" s="4">
        <f>IF(Startdatum&lt;Index005,1,0)</f>
        <v>1</v>
      </c>
      <c r="AD19" s="4"/>
    </row>
    <row r="20" spans="1:54" ht="15" customHeight="1" thickTop="1" x14ac:dyDescent="0.3">
      <c r="A20" s="30"/>
      <c r="B20" s="59" t="str">
        <f>IF(FN="NL",VLOOKUP(18,Taal!B2:D63,3,FALSE),VLOOKUP(18,Taal!B2:D63,2,FALSE))</f>
        <v>Aanvangsindexcijfer (basis 2013)</v>
      </c>
      <c r="C20" s="52"/>
      <c r="D20" s="52"/>
      <c r="E20" s="52"/>
      <c r="F20" s="43"/>
      <c r="G20" s="157" t="str">
        <f>IFERROR(VLOOKUP(Index063,indices!B3:N39,1+Index062),"")</f>
        <v/>
      </c>
      <c r="H20" s="157"/>
      <c r="I20" s="33"/>
      <c r="J20" s="22" t="str">
        <f>IFERROR(Index038,"")</f>
        <v/>
      </c>
      <c r="K20" s="44"/>
      <c r="L20" s="37"/>
      <c r="M20" s="37"/>
      <c r="N20" s="37"/>
      <c r="O20" s="37"/>
      <c r="P20" s="37"/>
      <c r="Q20" s="37"/>
      <c r="R20" s="37"/>
      <c r="S20" s="30"/>
      <c r="T20" s="30"/>
      <c r="U20" s="30"/>
      <c r="V20" s="69">
        <f>IF(OR(V19=1,X19="Gn wrd"),1,0)</f>
        <v>1</v>
      </c>
      <c r="W20" s="38"/>
      <c r="X20" s="38"/>
      <c r="Y20" s="34"/>
      <c r="AF20" s="4"/>
    </row>
    <row r="21" spans="1:54" ht="15" customHeight="1" x14ac:dyDescent="0.3">
      <c r="A21" s="30"/>
      <c r="B21" s="59" t="str">
        <f ca="1">IF(FN="NL",VLOOKUP(19,Taal!B2:D63,3,FALSE),VLOOKUP(19,Taal!B2:D63,2,FALSE))&amp;DAY(Startdatum)&amp;"/"&amp;MONTH(Startdatum)&amp;"/"&amp;YEAR(RecenteIndex)</f>
        <v>Nieuw indexcijfer vanaf 0/1/2024</v>
      </c>
      <c r="C21" s="52"/>
      <c r="D21" s="52"/>
      <c r="E21" s="52"/>
      <c r="F21" s="43"/>
      <c r="G21" s="157" t="str">
        <f>IF(MondelingeOvereenkomst=1,Index020,IF(GeenIndexatie=0,Basisindex,IF(OR(NietGeregistreerd=1,AND(NietGeregistreerd=0,EPBVoorgelegd=1)),'000'!D74,IF(AND(Energieklasse2&gt;"E",Index017 = "Y"),Index044,IF(EPBVoorgelegd=1,Index027,VLOOKUP(Index035,indices!B3:N39,1+Index007))))))</f>
        <v/>
      </c>
      <c r="H21" s="157"/>
      <c r="I21" s="33"/>
      <c r="J21" s="22" t="str">
        <f>IFERROR(IF(MondelingeOvereenkomst=1,Index039,IF(GeenIndexatie=0,Index038,IF(OR(NietGeregistreerd=1,AND(NietGeregistreerd=0,EPBVoorgelegd=1)),Index070,IF(EPBVoorgelegd=1,Index041,IF(AND(Energieklasse2&gt;"E",Index017="Y"),Index049,IF(AND(Energieklasse2="E",Index017="Y"),Index050,Index037)))))),"")</f>
        <v/>
      </c>
      <c r="K21" s="44"/>
      <c r="L21" s="44"/>
      <c r="M21" s="44"/>
      <c r="N21" s="44"/>
      <c r="O21" s="44"/>
      <c r="P21" s="44"/>
      <c r="Q21" s="44"/>
      <c r="R21" s="44"/>
      <c r="S21" s="43"/>
      <c r="T21" s="43"/>
      <c r="U21" s="30"/>
      <c r="V21" s="69">
        <f>IF(OR(Basishuurprijs="",X19="Gn wrd",V19=1),1,0)</f>
        <v>1</v>
      </c>
      <c r="W21" s="38"/>
      <c r="X21" s="38" t="b">
        <f>AND($AC$10=1,$H$17="")</f>
        <v>0</v>
      </c>
      <c r="Y21" s="34"/>
      <c r="AF21" s="27"/>
    </row>
    <row r="22" spans="1:54" ht="15" customHeight="1" x14ac:dyDescent="0.3">
      <c r="A22" s="30"/>
      <c r="B22" s="59" t="str">
        <f>IF(FN="NL",VLOOKUP(16,Taal!B2:D63,3,FALSE),VLOOKUP(16,Taal!B2:D63,2,FALSE))</f>
        <v xml:space="preserve">Toegepaste correctiefactor: </v>
      </c>
      <c r="C22" s="52"/>
      <c r="D22" s="52"/>
      <c r="E22" s="52"/>
      <c r="F22" s="43"/>
      <c r="G22" s="156">
        <f ca="1">IF(Index010="Y",IF(OR(EPBVoorgelegd=1,NietGeregistreerd=1,AC10=0,AND(Energieklasse2&gt;"D",Index017="Y")),1,IF(Energieklasse2="E",VLOOKUP(Codecorrectie,TCorrectiefactor[[M]:[E]],4,FALSE),VLOOKUP(Codecorrectie,TCorrectiefactor[[M]:[FG]],5,FALSE))),1)</f>
        <v>1</v>
      </c>
      <c r="H22" s="156"/>
      <c r="I22" s="33"/>
      <c r="J22" s="52" t="str">
        <f ca="1">Index057</f>
        <v>Geen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30"/>
      <c r="V22" s="71">
        <f ca="1">IF(OR(NietGeregistreerd=1,MondelingeOvereenkomst=1,GeenIndexatie=0,EPBVoorgelegd=1,Energieklasse2&lt;"E",Index015&lt;Index004,Correctiefactor=1),1,0)</f>
        <v>1</v>
      </c>
      <c r="W22" s="38"/>
      <c r="X22" s="38"/>
      <c r="Y22" s="34"/>
      <c r="BA22" s="78"/>
      <c r="BB22" s="9"/>
    </row>
    <row r="23" spans="1:54" ht="15" customHeight="1" thickBot="1" x14ac:dyDescent="0.35">
      <c r="A23" s="30"/>
      <c r="B23" s="59" t="str">
        <f ca="1">IF(FN="NL",VLOOKUP(14,Taal!B2:D63,3,FALSE),VLOOKUP(14,Taal!B2:D63,2,FALSE))&amp;DAY(Startdatum)&amp;"/"&amp;MONTH(Startdatum)&amp;"/"&amp;YEAR(RecenteIndex)</f>
        <v>Maximum geindexeerde huurprijs te betalen voor de huur vanaf 0/1/2024</v>
      </c>
      <c r="C23" s="52"/>
      <c r="D23" s="52"/>
      <c r="E23" s="52"/>
      <c r="F23" s="43"/>
      <c r="G23" s="155" t="str">
        <f ca="1">IFERROR(IF(OR(MondelingeOvereenkomst=1,GeenIndexatie=0,NietGeregistreerd=1,EPBVoorgelegd=1),((Basishuurprijs*NieuweIndex)/Basisindex)*Correctiefactor,IF(AND(Energieklasse2="E",Index017="Y"),Index048,((Basishuurprijs*NieuweIndex)/Basisindex)*Correctiefactor)),"")</f>
        <v/>
      </c>
      <c r="H23" s="155"/>
      <c r="I23" s="24"/>
      <c r="J23" s="151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3" s="46"/>
      <c r="L23" s="48"/>
      <c r="M23" s="48"/>
      <c r="N23" s="48"/>
      <c r="O23" s="48"/>
      <c r="P23" s="48"/>
      <c r="Q23" s="48"/>
      <c r="R23" s="48"/>
      <c r="S23" s="46"/>
      <c r="T23" s="46"/>
      <c r="U23" s="30"/>
      <c r="V23" s="69"/>
      <c r="W23" s="38"/>
      <c r="X23" s="38"/>
      <c r="Y23" s="34"/>
      <c r="AH23" s="12"/>
      <c r="BA23" s="78"/>
      <c r="BB23" s="9"/>
    </row>
    <row r="24" spans="1:54" ht="4.5" customHeight="1" thickTop="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54" ht="15" customHeight="1" x14ac:dyDescent="0.3">
      <c r="A25" s="2"/>
      <c r="B25" s="59" t="str">
        <f ca="1">IF(Correctiefactor=1,"",IF(FN="NL",VLOOKUP(26,Taal!B2:D63,3,FALSE),VLOOKUP(26,Taal!B2:D63,2,FALSE))&amp;Index034&amp;IF(FN="NL",VLOOKUP(27,Taal!B2:D63,3,FALSE),VLOOKUP(27,Taal!B2:D63,2,FALSE)))</f>
        <v/>
      </c>
      <c r="C25" s="2"/>
      <c r="D25" s="2"/>
      <c r="E25" s="2"/>
      <c r="F25" s="2"/>
      <c r="G25" s="2"/>
      <c r="H25" s="2"/>
      <c r="J25" s="2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54" ht="6" customHeight="1" x14ac:dyDescent="0.3">
      <c r="A26" s="2"/>
      <c r="B26" s="2"/>
      <c r="C26" s="75"/>
      <c r="D26" s="2"/>
      <c r="E26" s="75"/>
      <c r="F26" s="2"/>
      <c r="G26" s="2"/>
      <c r="H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</sheetData>
  <sheetProtection algorithmName="SHA-512" hashValue="qh8ptUPPbzDXAi+qYLH5lHVmHpx2RH6dBPsICZnCPv2zc2b1ZgPNYatxbvq2CisWf9S7FlnztrujECLpO+FgRQ==" saltValue="vNTNS9ijCura4KM+2sj3qw==" spinCount="100000" sheet="1"/>
  <mergeCells count="11">
    <mergeCell ref="F3:H3"/>
    <mergeCell ref="G23:H23"/>
    <mergeCell ref="G22:H22"/>
    <mergeCell ref="G20:H20"/>
    <mergeCell ref="G21:H21"/>
    <mergeCell ref="G9:H9"/>
    <mergeCell ref="G13:H13"/>
    <mergeCell ref="G10:H10"/>
    <mergeCell ref="G15:H15"/>
    <mergeCell ref="G19:H19"/>
    <mergeCell ref="G18:H18"/>
  </mergeCells>
  <conditionalFormatting sqref="B15:B16">
    <cfRule type="expression" dxfId="67" priority="2" stopIfTrue="1">
      <formula>$AC$14=1</formula>
    </cfRule>
  </conditionalFormatting>
  <conditionalFormatting sqref="B25">
    <cfRule type="expression" dxfId="66" priority="24" stopIfTrue="1">
      <formula>$V$21=1</formula>
    </cfRule>
  </conditionalFormatting>
  <conditionalFormatting sqref="B17:H17 J17">
    <cfRule type="expression" dxfId="65" priority="6" stopIfTrue="1">
      <formula>$AG$12="No"</formula>
    </cfRule>
    <cfRule type="expression" dxfId="64" priority="9" stopIfTrue="1">
      <formula>$V$17=1</formula>
    </cfRule>
  </conditionalFormatting>
  <conditionalFormatting sqref="B18:H18 J18:K18">
    <cfRule type="expression" dxfId="63" priority="8" stopIfTrue="1">
      <formula>$V$18=1</formula>
    </cfRule>
  </conditionalFormatting>
  <conditionalFormatting sqref="B19:H19">
    <cfRule type="expression" dxfId="62" priority="384" stopIfTrue="1">
      <formula>AND($AC$10=1,$H$17="",$V$17=0)</formula>
    </cfRule>
  </conditionalFormatting>
  <conditionalFormatting sqref="B7:T7">
    <cfRule type="expression" dxfId="61" priority="39">
      <formula>$V7=1</formula>
    </cfRule>
  </conditionalFormatting>
  <conditionalFormatting sqref="B8:T8">
    <cfRule type="expression" dxfId="60" priority="58">
      <formula>$V$8=1</formula>
    </cfRule>
  </conditionalFormatting>
  <conditionalFormatting sqref="B9:T9">
    <cfRule type="expression" dxfId="59" priority="5" stopIfTrue="1">
      <formula>$V$9=1</formula>
    </cfRule>
  </conditionalFormatting>
  <conditionalFormatting sqref="B10:T10">
    <cfRule type="expression" dxfId="58" priority="36" stopIfTrue="1">
      <formula>$V$10=1</formula>
    </cfRule>
  </conditionalFormatting>
  <conditionalFormatting sqref="B11:T11">
    <cfRule type="expression" dxfId="57" priority="35" stopIfTrue="1">
      <formula>$V$11=1</formula>
    </cfRule>
  </conditionalFormatting>
  <conditionalFormatting sqref="B12:T12">
    <cfRule type="expression" dxfId="56" priority="34" stopIfTrue="1">
      <formula>$V$12=1</formula>
    </cfRule>
  </conditionalFormatting>
  <conditionalFormatting sqref="B13:T13">
    <cfRule type="expression" dxfId="55" priority="33" stopIfTrue="1">
      <formula>$V$13=1</formula>
    </cfRule>
  </conditionalFormatting>
  <conditionalFormatting sqref="B14:T14">
    <cfRule type="expression" dxfId="54" priority="32" stopIfTrue="1">
      <formula>$V$14=1</formula>
    </cfRule>
  </conditionalFormatting>
  <conditionalFormatting sqref="B15:T15">
    <cfRule type="expression" dxfId="53" priority="30" stopIfTrue="1">
      <formula>$V$15=1</formula>
    </cfRule>
  </conditionalFormatting>
  <conditionalFormatting sqref="B16:T16">
    <cfRule type="expression" dxfId="52" priority="31" stopIfTrue="1">
      <formula>$V$16=1</formula>
    </cfRule>
  </conditionalFormatting>
  <conditionalFormatting sqref="B19:T19">
    <cfRule type="expression" dxfId="51" priority="4" stopIfTrue="1">
      <formula>$V$19=1</formula>
    </cfRule>
  </conditionalFormatting>
  <conditionalFormatting sqref="B20:T23">
    <cfRule type="expression" dxfId="50" priority="27" stopIfTrue="1">
      <formula>$V$21=1</formula>
    </cfRule>
  </conditionalFormatting>
  <conditionalFormatting sqref="B22:T22">
    <cfRule type="expression" dxfId="49" priority="28" stopIfTrue="1">
      <formula>$V$22=1</formula>
    </cfRule>
  </conditionalFormatting>
  <conditionalFormatting sqref="F20:F23 I20:T23">
    <cfRule type="expression" dxfId="48" priority="382" stopIfTrue="1">
      <formula>OR($G$19="",$G$19=0)</formula>
    </cfRule>
    <cfRule type="expression" dxfId="47" priority="275" stopIfTrue="1">
      <formula>$G$19=""</formula>
    </cfRule>
  </conditionalFormatting>
  <conditionalFormatting sqref="F22 I22:T22 H16:T16 F16:F18 F15:T15">
    <cfRule type="expression" dxfId="46" priority="112" stopIfTrue="1">
      <formula>$AC$14=1</formula>
    </cfRule>
  </conditionalFormatting>
  <conditionalFormatting sqref="F22 I22:T22">
    <cfRule type="expression" dxfId="45" priority="83">
      <formula>Index060 = "Y"</formula>
    </cfRule>
    <cfRule type="expression" dxfId="44" priority="532" stopIfTrue="1">
      <formula>$AC$11=0</formula>
    </cfRule>
  </conditionalFormatting>
  <conditionalFormatting sqref="G13">
    <cfRule type="expression" dxfId="43" priority="392">
      <formula>$G$13&gt;0</formula>
    </cfRule>
  </conditionalFormatting>
  <conditionalFormatting sqref="G15">
    <cfRule type="expression" dxfId="42" priority="396">
      <formula>$G$15&gt;0</formula>
    </cfRule>
  </conditionalFormatting>
  <conditionalFormatting sqref="G17">
    <cfRule type="expression" dxfId="41" priority="13" stopIfTrue="1">
      <formula>$AC$14=1</formula>
    </cfRule>
  </conditionalFormatting>
  <conditionalFormatting sqref="G18">
    <cfRule type="expression" dxfId="40" priority="20" stopIfTrue="1">
      <formula>$X$18=1</formula>
    </cfRule>
    <cfRule type="expression" dxfId="39" priority="21">
      <formula>$G18&lt;&gt;""</formula>
    </cfRule>
  </conditionalFormatting>
  <conditionalFormatting sqref="G9:H9">
    <cfRule type="expression" dxfId="38" priority="25" stopIfTrue="1">
      <formula>$X$9="Gn wrd"</formula>
    </cfRule>
    <cfRule type="expression" dxfId="37" priority="37">
      <formula>$G$9&lt;&gt;""</formula>
    </cfRule>
  </conditionalFormatting>
  <conditionalFormatting sqref="G10:H10">
    <cfRule type="expression" dxfId="36" priority="88" stopIfTrue="1">
      <formula>Startdatum&gt;Index001</formula>
    </cfRule>
    <cfRule type="expression" dxfId="35" priority="386">
      <formula>$G$10&gt;0</formula>
    </cfRule>
  </conditionalFormatting>
  <conditionalFormatting sqref="G13:H13">
    <cfRule type="expression" dxfId="34" priority="527" stopIfTrue="1">
      <formula>AND($AC$13=1,$G$13&lt;&gt;"")</formula>
    </cfRule>
  </conditionalFormatting>
  <conditionalFormatting sqref="G15:H15">
    <cfRule type="expression" dxfId="33" priority="529" stopIfTrue="1">
      <formula>AND($AC$15=1,$G$15&lt;&gt;"")</formula>
    </cfRule>
  </conditionalFormatting>
  <conditionalFormatting sqref="G19:H19">
    <cfRule type="expression" dxfId="32" priority="7" stopIfTrue="1">
      <formula>$X$19="gn wrd"</formula>
    </cfRule>
    <cfRule type="expression" dxfId="31" priority="29" stopIfTrue="1">
      <formula>$G$19&lt;&gt;""</formula>
    </cfRule>
  </conditionalFormatting>
  <conditionalFormatting sqref="H6:H8 H11:H12">
    <cfRule type="expression" dxfId="30" priority="408">
      <formula>$H6&lt;&gt;""</formula>
    </cfRule>
  </conditionalFormatting>
  <conditionalFormatting sqref="H14">
    <cfRule type="expression" dxfId="29" priority="394">
      <formula>$H$14&lt;&gt;""</formula>
    </cfRule>
  </conditionalFormatting>
  <conditionalFormatting sqref="H16">
    <cfRule type="expression" dxfId="28" priority="520">
      <formula>$H$16&lt;&gt;""</formula>
    </cfRule>
  </conditionalFormatting>
  <conditionalFormatting sqref="H17">
    <cfRule type="expression" dxfId="27" priority="12" stopIfTrue="1">
      <formula>$V$12=1</formula>
    </cfRule>
    <cfRule type="expression" dxfId="26" priority="15">
      <formula>$H17&lt;&gt;""</formula>
    </cfRule>
    <cfRule type="expression" dxfId="25" priority="18" stopIfTrue="1">
      <formula>$V$10=1</formula>
    </cfRule>
  </conditionalFormatting>
  <conditionalFormatting sqref="J9">
    <cfRule type="expression" dxfId="24" priority="55">
      <formula>$J$9="?"</formula>
    </cfRule>
    <cfRule type="expression" dxfId="23" priority="47" stopIfTrue="1">
      <formula>$G$9&gt;0</formula>
    </cfRule>
  </conditionalFormatting>
  <conditionalFormatting sqref="J13">
    <cfRule type="expression" dxfId="22" priority="93" stopIfTrue="1">
      <formula>$G$13&gt;0</formula>
    </cfRule>
    <cfRule type="expression" dxfId="21" priority="110" stopIfTrue="1">
      <formula>$J$13="?"</formula>
    </cfRule>
  </conditionalFormatting>
  <conditionalFormatting sqref="J15">
    <cfRule type="expression" dxfId="20" priority="167">
      <formula>$G$15&gt;0</formula>
    </cfRule>
    <cfRule type="expression" dxfId="19" priority="208">
      <formula>$J$15="?"</formula>
    </cfRule>
  </conditionalFormatting>
  <conditionalFormatting sqref="J17:J18">
    <cfRule type="expression" dxfId="18" priority="23" stopIfTrue="1">
      <formula>$J$17="?"</formula>
    </cfRule>
  </conditionalFormatting>
  <conditionalFormatting sqref="J18">
    <cfRule type="expression" dxfId="17" priority="19" stopIfTrue="1">
      <formula>$G$18&gt;0</formula>
    </cfRule>
  </conditionalFormatting>
  <conditionalFormatting sqref="J6:T6">
    <cfRule type="expression" dxfId="16" priority="57">
      <formula>$AC$6=0</formula>
    </cfRule>
  </conditionalFormatting>
  <conditionalFormatting sqref="J7:T7">
    <cfRule type="expression" dxfId="15" priority="227" stopIfTrue="1">
      <formula>$AC$7=0</formula>
    </cfRule>
  </conditionalFormatting>
  <conditionalFormatting sqref="J8:T8">
    <cfRule type="expression" dxfId="14" priority="61">
      <formula>$AC$8=0</formula>
    </cfRule>
  </conditionalFormatting>
  <conditionalFormatting sqref="J10:T10">
    <cfRule type="expression" dxfId="13" priority="536">
      <formula>$AG$10=0</formula>
    </cfRule>
    <cfRule type="expression" dxfId="12" priority="535" stopIfTrue="1">
      <formula>$G$10=""</formula>
    </cfRule>
  </conditionalFormatting>
  <conditionalFormatting sqref="J11:T11">
    <cfRule type="expression" dxfId="11" priority="87">
      <formula>$AC$11=0</formula>
    </cfRule>
  </conditionalFormatting>
  <conditionalFormatting sqref="J12:T12">
    <cfRule type="expression" dxfId="10" priority="412">
      <formula>$AC$12=0</formula>
    </cfRule>
    <cfRule type="expression" dxfId="9" priority="84">
      <formula>$AC$12=0</formula>
    </cfRule>
  </conditionalFormatting>
  <conditionalFormatting sqref="J14:T14">
    <cfRule type="expression" dxfId="8" priority="414">
      <formula>$AC$14=0</formula>
    </cfRule>
  </conditionalFormatting>
  <conditionalFormatting sqref="K11">
    <cfRule type="expression" dxfId="7" priority="54">
      <formula>$G$10=""</formula>
    </cfRule>
    <cfRule type="expression" dxfId="6" priority="52" stopIfTrue="1">
      <formula>$AA$8=0</formula>
    </cfRule>
    <cfRule type="expression" dxfId="5" priority="50" stopIfTrue="1">
      <formula>$H$8=""</formula>
    </cfRule>
    <cfRule type="expression" dxfId="4" priority="53" stopIfTrue="1">
      <formula>$AC$8=1</formula>
    </cfRule>
  </conditionalFormatting>
  <conditionalFormatting sqref="K9:T9">
    <cfRule type="expression" dxfId="3" priority="26" stopIfTrue="1">
      <formula>$K$9=""</formula>
    </cfRule>
  </conditionalFormatting>
  <conditionalFormatting sqref="K11:T11 J10:T10">
    <cfRule type="expression" dxfId="2" priority="60" stopIfTrue="1">
      <formula>"Startdatum&lt;=TODAY()"</formula>
    </cfRule>
  </conditionalFormatting>
  <conditionalFormatting sqref="K13:T13">
    <cfRule type="expression" dxfId="1" priority="530" stopIfTrue="1">
      <formula>OR($AC$13=0,$G$13="")</formula>
    </cfRule>
  </conditionalFormatting>
  <conditionalFormatting sqref="K15:T15">
    <cfRule type="expression" dxfId="0" priority="531">
      <formula>OR($AC$15=0,$G$15="")</formula>
    </cfRule>
  </conditionalFormatting>
  <dataValidations count="8">
    <dataValidation type="list" allowBlank="1" showInputMessage="1" showErrorMessage="1" sqref="H4:I4" xr:uid="{B8CAF6CF-8FF3-46BC-888F-3EAF2DE4802B}">
      <formula1>"FR,NL"</formula1>
    </dataValidation>
    <dataValidation type="list" allowBlank="1" showInputMessage="1" showErrorMessage="1" sqref="H16" xr:uid="{163545D3-5F74-4FD5-AF5B-D68D836EBCD2}">
      <formula1>"A,B,C,D,E,F,G"</formula1>
    </dataValidation>
    <dataValidation type="date" operator="greaterThan" allowBlank="1" showInputMessage="1" showErrorMessage="1" sqref="G13:H13" xr:uid="{78DB524E-FF33-4572-BC3F-C3E389C0967B}">
      <formula1>8402</formula1>
    </dataValidation>
    <dataValidation type="date" operator="greaterThan" allowBlank="1" showInputMessage="1" showErrorMessage="1" sqref="G15:H15" xr:uid="{8A613D4B-99BC-417D-8367-FC69591F765C}">
      <formula1>36526</formula1>
    </dataValidation>
    <dataValidation type="list" allowBlank="1" showInputMessage="1" showErrorMessage="1" sqref="J15 J13 J9 J18" xr:uid="{C531D3DB-9317-4677-AB3A-8B555EA2C223}">
      <formula1>"?"</formula1>
    </dataValidation>
    <dataValidation type="date" operator="greaterThan" allowBlank="1" showInputMessage="1" showErrorMessage="1" sqref="G10:H10" xr:uid="{AC3D2BDE-2B91-4006-8231-A6A07590BBB1}">
      <formula1>8688</formula1>
    </dataValidation>
    <dataValidation type="date" operator="greaterThanOrEqual" allowBlank="1" showInputMessage="1" showErrorMessage="1" sqref="G9:H9" xr:uid="{58DD429B-A280-402C-A560-194495402625}">
      <formula1>34334</formula1>
    </dataValidation>
    <dataValidation type="whole" allowBlank="1" showInputMessage="1" showErrorMessage="1" sqref="G18:H18" xr:uid="{655BD376-2E25-4661-98C3-0FADDDCAF82D}">
      <formula1>1985</formula1>
      <formula2>2024</formula2>
    </dataValidation>
  </dataValidations>
  <hyperlinks>
    <hyperlink ref="F3" r:id="rId1" display="https://logement.brussels/louer/bail/indexation-des-loyers/" xr:uid="{DE9A1683-C54A-40B4-B11D-EA711C6DFC68}"/>
  </hyperlinks>
  <pageMargins left="0.25" right="0.25" top="0.75" bottom="0.75" header="0.3" footer="0.3"/>
  <pageSetup paperSize="9" scale="88" fitToHeight="0" orientation="portrait" horizontalDpi="300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6A3D84-ECF8-4D72-B90B-ECFF32ED32CA}">
          <x14:formula1>
            <xm:f>Taal!$G$3:$G$4</xm:f>
          </x14:formula1>
          <xm:sqref>H14 H11:H12 H6:H8 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DBCA9-B41D-4F78-9B90-7F581BD517B0}">
  <sheetPr codeName="Sheet2">
    <pageSetUpPr fitToPage="1"/>
  </sheetPr>
  <dimension ref="A2:G81"/>
  <sheetViews>
    <sheetView topLeftCell="A53" zoomScale="120" zoomScaleNormal="120" workbookViewId="0">
      <selection activeCell="D68" sqref="D68"/>
    </sheetView>
  </sheetViews>
  <sheetFormatPr defaultColWidth="0" defaultRowHeight="14.4" x14ac:dyDescent="0.3"/>
  <cols>
    <col min="1" max="1" width="1.33203125" customWidth="1"/>
    <col min="2" max="2" width="9.44140625" style="56" customWidth="1"/>
    <col min="3" max="3" width="68" style="3" customWidth="1"/>
    <col min="4" max="4" width="81.88671875" style="64" customWidth="1"/>
    <col min="5" max="5" width="1.109375" customWidth="1"/>
    <col min="6" max="6" width="35.33203125" customWidth="1"/>
    <col min="7" max="7" width="0" hidden="1" customWidth="1"/>
    <col min="8" max="16384" width="8.88671875" hidden="1"/>
  </cols>
  <sheetData>
    <row r="2" spans="2:5" x14ac:dyDescent="0.3">
      <c r="B2" s="110" t="s">
        <v>50</v>
      </c>
      <c r="C2" s="111" t="s">
        <v>51</v>
      </c>
      <c r="D2" s="112">
        <f>indices!R3</f>
        <v>45716</v>
      </c>
      <c r="E2" s="34"/>
    </row>
    <row r="3" spans="2:5" x14ac:dyDescent="0.3">
      <c r="B3" s="113" t="s">
        <v>52</v>
      </c>
      <c r="C3" s="114" t="s">
        <v>53</v>
      </c>
      <c r="D3" s="115">
        <f>Index001+5</f>
        <v>45721</v>
      </c>
      <c r="E3" s="34"/>
    </row>
    <row r="4" spans="2:5" x14ac:dyDescent="0.3">
      <c r="B4" s="113" t="s">
        <v>54</v>
      </c>
      <c r="C4" s="114" t="s">
        <v>55</v>
      </c>
      <c r="D4" s="115" t="str">
        <f>"V"&amp;YEAR(Index001)&amp;"_"&amp;MONTH(Index001)</f>
        <v>V2025_2</v>
      </c>
      <c r="E4" s="34"/>
    </row>
    <row r="5" spans="2:5" x14ac:dyDescent="0.3">
      <c r="B5" s="113" t="s">
        <v>56</v>
      </c>
      <c r="C5" s="114" t="s">
        <v>69</v>
      </c>
      <c r="D5" s="116">
        <v>45213</v>
      </c>
      <c r="E5" s="34"/>
    </row>
    <row r="6" spans="2:5" x14ac:dyDescent="0.3">
      <c r="B6" s="113" t="s">
        <v>57</v>
      </c>
      <c r="C6" s="114" t="s">
        <v>70</v>
      </c>
      <c r="D6" s="116">
        <v>44848</v>
      </c>
      <c r="E6" s="34"/>
    </row>
    <row r="7" spans="2:5" x14ac:dyDescent="0.3">
      <c r="B7" s="113" t="s">
        <v>58</v>
      </c>
      <c r="C7" s="114" t="s">
        <v>115</v>
      </c>
      <c r="D7" s="117">
        <f>IF(MONTH(Startdatum)=10,IF(DAY(Startdatum)&lt;14,"10a","10b"),MONTH(Startdatum))</f>
        <v>1</v>
      </c>
      <c r="E7" s="34"/>
    </row>
    <row r="8" spans="2:5" x14ac:dyDescent="0.3">
      <c r="B8" s="113" t="s">
        <v>59</v>
      </c>
      <c r="C8" s="114" t="s">
        <v>72</v>
      </c>
      <c r="D8" s="117">
        <f>IF(MONTH(Startdatum)&gt;1,MONTH(Startdatum)-1,12)</f>
        <v>12</v>
      </c>
      <c r="E8" s="34"/>
    </row>
    <row r="9" spans="2:5" x14ac:dyDescent="0.3">
      <c r="B9" s="113" t="s">
        <v>60</v>
      </c>
      <c r="C9" s="114" t="s">
        <v>73</v>
      </c>
      <c r="D9" s="118" t="e">
        <f>YEAR(EDATE(Index009,-1))</f>
        <v>#NUM!</v>
      </c>
      <c r="E9" s="34"/>
    </row>
    <row r="10" spans="2:5" x14ac:dyDescent="0.3">
      <c r="B10" s="113" t="s">
        <v>61</v>
      </c>
      <c r="C10" s="119" t="s">
        <v>74</v>
      </c>
      <c r="D10" s="120">
        <f>Startdatum</f>
        <v>0</v>
      </c>
      <c r="E10" s="34"/>
    </row>
    <row r="11" spans="2:5" x14ac:dyDescent="0.3">
      <c r="B11" s="113" t="s">
        <v>62</v>
      </c>
      <c r="C11" s="114" t="s">
        <v>42</v>
      </c>
      <c r="D11" s="121" t="str">
        <f>IF(Startdatum&lt;Index005,"Y","N")</f>
        <v>Y</v>
      </c>
      <c r="E11" s="34"/>
    </row>
    <row r="12" spans="2:5" x14ac:dyDescent="0.3">
      <c r="B12" s="113" t="s">
        <v>75</v>
      </c>
      <c r="C12" s="114" t="str">
        <f ca="1">"Wat is de datum van de verjaardag van het contract in het huidige jaar ("&amp;YEAR(TODAY())&amp;")?"</f>
        <v>Wat is de datum van de verjaardag van het contract in het huidige jaar (2025)?</v>
      </c>
      <c r="D12" s="115">
        <f ca="1">DATE(YEAR(TODAY()),MONTH(Startdatum),DAY(Startdatum))</f>
        <v>45657</v>
      </c>
      <c r="E12" s="34"/>
    </row>
    <row r="13" spans="2:5" ht="28.8" x14ac:dyDescent="0.3">
      <c r="B13" s="113" t="s">
        <v>76</v>
      </c>
      <c r="C13" s="114" t="str">
        <f ca="1">"Is "&amp;DAY(Startdatum)&amp;"/"&amp;MONTH(Startdatum)&amp;"/"&amp;YEAR(Index011) &amp;" groter dan 14/10/2023? Indien Y dan is de correctiefactor reeds van toepassing."</f>
        <v>Is 0/1/2024 groter dan 14/10/2023? Indien Y dan is de correctiefactor reeds van toepassing.</v>
      </c>
      <c r="D13" s="121" t="str">
        <f ca="1">IF(Index011&gt;=StartCorrectie,"Y","N")</f>
        <v>Y</v>
      </c>
      <c r="E13" s="34"/>
    </row>
    <row r="14" spans="2:5" x14ac:dyDescent="0.3">
      <c r="B14" s="113" t="s">
        <v>77</v>
      </c>
      <c r="C14" s="114" t="s">
        <v>78</v>
      </c>
      <c r="D14" s="117">
        <f ca="1">YEAR(Index011)-YEAR(Index009)</f>
        <v>124</v>
      </c>
      <c r="E14" s="34"/>
    </row>
    <row r="15" spans="2:5" ht="28.8" x14ac:dyDescent="0.3">
      <c r="B15" s="113" t="s">
        <v>79</v>
      </c>
      <c r="C15" s="114" t="str">
        <f ca="1">"Is "&amp;DAY(Startdatum)&amp;"/"&amp;MONTH(Startdatum)&amp;"/"&amp;YEAR(Index011) &amp;" kleiner dan "&amp;DAY(Index001)&amp;"/"&amp;MONTH(Index001)&amp;"/"&amp;YEAR(Index001)&amp;" (De uiterste datum waarvoor gegevens beschikbaar zijn)?"</f>
        <v>Is 0/1/2024 kleiner dan 28/2/2025 (De uiterste datum waarvoor gegevens beschikbaar zijn)?</v>
      </c>
      <c r="D15" s="121" t="str">
        <f ca="1">IF(Index011&lt;Index001,"Y","N")</f>
        <v>Y</v>
      </c>
      <c r="E15" s="34"/>
    </row>
    <row r="16" spans="2:5" x14ac:dyDescent="0.3">
      <c r="B16" s="113" t="s">
        <v>80</v>
      </c>
      <c r="C16" s="119" t="s">
        <v>43</v>
      </c>
      <c r="D16" s="115">
        <f ca="1">IF(Index014="N",DATE(YEAR(TODAY())-1,MONTH(Startdatum),DAY(Startdatum)),DATE(YEAR(TODAY()),MONTH(Startdatum),DAY(Startdatum)))</f>
        <v>45657</v>
      </c>
      <c r="E16" s="34"/>
    </row>
    <row r="17" spans="2:7" ht="28.8" x14ac:dyDescent="0.3">
      <c r="B17" s="113" t="s">
        <v>81</v>
      </c>
      <c r="C17" s="114" t="str">
        <f ca="1">"Is "&amp;DAY(Index015)&amp;"/"&amp;MONTH(Index015)&amp;"/"&amp;YEAR(Index015) &amp;" groter dan 14/10/2023? Indien Y dan is de correctiefactor reeds van toepassing."</f>
        <v>Is 31/12/2024 groter dan 14/10/2023? Indien Y dan is de correctiefactor reeds van toepassing.</v>
      </c>
      <c r="D17" s="121" t="str">
        <f ca="1">IF(Index015&gt;=StartCorrectie,"Y","N")</f>
        <v>Y</v>
      </c>
      <c r="E17" s="34"/>
    </row>
    <row r="18" spans="2:7" ht="28.8" x14ac:dyDescent="0.3">
      <c r="B18" s="113" t="s">
        <v>82</v>
      </c>
      <c r="C18" s="114" t="str">
        <f ca="1">"Is "&amp;DAY(Index015)&amp;"/"&amp;MONTH(Index015)&amp;"/"&amp;YEAR(Index015) &amp;" groter dan 14/10/2022? Indien Y dan is dit het jaar waarin er een indexstop was."</f>
        <v>Is 31/12/2024 groter dan 14/10/2022? Indien Y dan is dit het jaar waarin er een indexstop was.</v>
      </c>
      <c r="D18" s="121" t="str">
        <f ca="1">IF(Index016="N",IF(Index015&gt;StartIndexstop,"Y","N"),"N")</f>
        <v>N</v>
      </c>
      <c r="E18" s="34"/>
    </row>
    <row r="19" spans="2:7" ht="28.8" x14ac:dyDescent="0.3">
      <c r="B19" s="113" t="s">
        <v>83</v>
      </c>
      <c r="C19" s="114" t="s">
        <v>84</v>
      </c>
      <c r="D19" s="116">
        <v>43101</v>
      </c>
      <c r="E19" s="34"/>
    </row>
    <row r="20" spans="2:7" ht="28.8" x14ac:dyDescent="0.3">
      <c r="B20" s="113" t="s">
        <v>85</v>
      </c>
      <c r="C20" s="114" t="s">
        <v>87</v>
      </c>
      <c r="D20" s="121" t="str">
        <f>IF(MondelingeOvereenkomst=1,IF(Index061&gt;DATE(2017,1,1),"Y","N"),"---")</f>
        <v>---</v>
      </c>
      <c r="E20" s="34"/>
    </row>
    <row r="21" spans="2:7" x14ac:dyDescent="0.3">
      <c r="B21" s="113" t="s">
        <v>88</v>
      </c>
      <c r="C21" s="114" t="s">
        <v>89</v>
      </c>
      <c r="D21" s="117" t="str">
        <f>IF(MondelingeOvereenkomst=1,IF(AND(Index019="N",Startdatum&lt;EDATE(Index018,-11)),VLOOKUP(2017,indices!B3:N39,1+Index007),Basisindex),"---")</f>
        <v>---</v>
      </c>
      <c r="E21" s="34"/>
    </row>
    <row r="22" spans="2:7" ht="28.8" x14ac:dyDescent="0.3">
      <c r="B22" s="113" t="s">
        <v>90</v>
      </c>
      <c r="C22" s="114" t="str">
        <f>"Is de startdatum van het niet geregistreerd huurcontract recenter dan de wetswijziging die indexatie van deze contracten verbiedt? "&amp; DAY(Index005)&amp;"/"&amp;MONTH(Index005)&amp;"/"&amp;YEAR(Index005)</f>
        <v>Is de startdatum van het niet geregistreerd huurcontract recenter dan de wetswijziging die indexatie van deze contracten verbiedt? 14/10/2022</v>
      </c>
      <c r="D22" s="121" t="str">
        <f>IF(NietGeregistreerd=1,IF(Index009&gt;DATE(YEAR(Index005),MONTH(Index005),DAY(Index005)),"Y","N"),"---")</f>
        <v>---</v>
      </c>
      <c r="E22" s="34"/>
    </row>
    <row r="23" spans="2:7" ht="28.8" x14ac:dyDescent="0.3">
      <c r="B23" s="113" t="s">
        <v>91</v>
      </c>
      <c r="C23" s="114" t="str">
        <f>"Niet geregistreerde huurovereenkomst - Als Index021 = N : laatste jaar indexcijfer voor " &amp; DAY(Index005)&amp;"/"&amp;MONTH(Index005)&amp;"/"&amp;YEAR(Index005)</f>
        <v>Niet geregistreerde huurovereenkomst - Als Index021 = N : laatste jaar indexcijfer voor 14/10/2022</v>
      </c>
      <c r="D23" s="117" t="e">
        <f>IF(MONTH(Index009)&gt;1,IF(NietGeregistreerd=1,IF(MONTH(Index009)&lt;MONTH(Index005),YEAR(Index005),IF(AND(MONTH(Index009)=MONTH(Index005),DAY(Index009)&lt;DAY(Index005)),YEAR(Index005),YEAR(Index005)-1)),"---"),IF(NietGeregistreerd=1,IF(MONTH(Index009)&lt;MONTH(Index005),YEAR(Index005),IF(AND(MONTH(Index009)=MONTH(Index005),DAY(Index009)&lt;DAY(Index005)),YEAR(Index005),YEAR(Index005)-1)),"---")-1)</f>
        <v>#VALUE!</v>
      </c>
      <c r="E23" s="34"/>
    </row>
    <row r="24" spans="2:7" x14ac:dyDescent="0.3">
      <c r="B24" s="113" t="s">
        <v>92</v>
      </c>
      <c r="C24" s="114" t="str">
        <f>"Niet geregistreerde huurovereenkomst - Als Index021 = N : Laatste index "</f>
        <v xml:space="preserve">Niet geregistreerde huurovereenkomst - Als Index021 = N : Laatste index </v>
      </c>
      <c r="D24" s="148" t="str">
        <f>IF(NietGeregistreerd=1,IF(Index021="N",VLOOKUP(Index022,indices!B3:N39,1+Index007),Basisindex),"---")</f>
        <v>---</v>
      </c>
      <c r="E24" s="83"/>
    </row>
    <row r="25" spans="2:7" x14ac:dyDescent="0.3">
      <c r="B25" s="113" t="s">
        <v>93</v>
      </c>
      <c r="C25" s="114" t="s">
        <v>94</v>
      </c>
      <c r="D25" s="115" t="e">
        <f>IF(Registratiedatum&gt;DATE(YEAR(Registratiedatum),MONTH(Startdatum),DAY(Startdatum)),DATE(YEAR(Registratiedatum)+1,MONTH(Startdatum),DAY(Startdatum)),DATE(YEAR(Registratiedatum),MONTH(Startdatum),DAY(Startdatum)))</f>
        <v>#VALUE!</v>
      </c>
      <c r="E25" s="34"/>
    </row>
    <row r="26" spans="2:7" x14ac:dyDescent="0.3">
      <c r="B26" s="113" t="s">
        <v>95</v>
      </c>
      <c r="C26" s="114" t="s">
        <v>99</v>
      </c>
      <c r="D26" s="121" t="str">
        <f>IF(EPBVoorgelegd=1,"N","Y")</f>
        <v>Y</v>
      </c>
      <c r="E26" s="34"/>
    </row>
    <row r="27" spans="2:7" ht="28.8" x14ac:dyDescent="0.3">
      <c r="B27" s="113" t="s">
        <v>96</v>
      </c>
      <c r="C27" s="114" t="str">
        <f>"Niet voorgelegd EPB attest - Als Index025 = N : laatste jaar indexcijfer voor " &amp; DAY(Index005)&amp;"/"&amp;MONTH(Index005)&amp;"/"&amp;YEAR(Index005)</f>
        <v>Niet voorgelegd EPB attest - Als Index025 = N : laatste jaar indexcijfer voor 14/10/2022</v>
      </c>
      <c r="D27" s="117" t="str">
        <f>IF(EPBVoorgelegd=1,IF(Startdatum&gt;=EDATE(Index005,-12),Index063,IF(Index064&gt;=Index005,2022,2021)),"---")</f>
        <v>---</v>
      </c>
      <c r="E27" s="34"/>
      <c r="G27" s="63"/>
    </row>
    <row r="28" spans="2:7" x14ac:dyDescent="0.3">
      <c r="B28" s="113" t="s">
        <v>97</v>
      </c>
      <c r="C28" s="114" t="str">
        <f>"Niet geregistreerde huurovereenkomst - Als Index021 = N : Laatste index "</f>
        <v xml:space="preserve">Niet geregistreerde huurovereenkomst - Als Index021 = N : Laatste index </v>
      </c>
      <c r="D28" s="117" t="str">
        <f>IF(EPBVoorgelegd=1,IF(Index025="N",VLOOKUP(Index026,indices!B3:N39,1+Index007),Basisindex),"---")</f>
        <v>---</v>
      </c>
      <c r="E28" s="34"/>
    </row>
    <row r="29" spans="2:7" ht="28.8" x14ac:dyDescent="0.3">
      <c r="B29" s="113" t="s">
        <v>98</v>
      </c>
      <c r="C29" s="114" t="s">
        <v>100</v>
      </c>
      <c r="D29" s="115" t="e">
        <f>IF(EPBDatum&gt;DATE(YEAR(EPBDatum),MONTH(Startdatum),DAY(Startdatum)),DATE(YEAR(EPBDatum)+1,MONTH(Startdatum),DAY(Startdatum)),DATE(YEAR(EPBDatum),MONTH(Startdatum),DAY(Startdatum)))</f>
        <v>#VALUE!</v>
      </c>
      <c r="E29" s="34"/>
    </row>
    <row r="30" spans="2:7" x14ac:dyDescent="0.3">
      <c r="B30" s="113" t="s">
        <v>101</v>
      </c>
      <c r="C30" s="114" t="s">
        <v>102</v>
      </c>
      <c r="D30" s="115">
        <f>DATE(2023,MONTH(Startdatum),DAY(Startdatum))</f>
        <v>44926</v>
      </c>
      <c r="E30" s="34"/>
    </row>
    <row r="31" spans="2:7" x14ac:dyDescent="0.3">
      <c r="B31" s="113"/>
      <c r="C31" s="119" t="s">
        <v>104</v>
      </c>
      <c r="D31" s="122"/>
      <c r="E31" s="34"/>
    </row>
    <row r="32" spans="2:7" x14ac:dyDescent="0.3">
      <c r="B32" s="113" t="s">
        <v>103</v>
      </c>
      <c r="C32" s="114" t="s">
        <v>105</v>
      </c>
      <c r="D32" s="117">
        <f>VLOOKUP(Codecorrectie,TCorrectiefactor[[M]:[Index1]],2,FALSE)</f>
        <v>115.6</v>
      </c>
      <c r="E32" s="34"/>
    </row>
    <row r="33" spans="2:7" x14ac:dyDescent="0.3">
      <c r="B33" s="113" t="s">
        <v>107</v>
      </c>
      <c r="C33" s="114" t="s">
        <v>106</v>
      </c>
      <c r="D33" s="117">
        <f>VLOOKUP(Codecorrectie,TCorrectiefactor[[M]:[Index2]],3,FALSE)</f>
        <v>127.89</v>
      </c>
      <c r="E33" s="34"/>
    </row>
    <row r="34" spans="2:7" x14ac:dyDescent="0.3">
      <c r="B34" s="113" t="s">
        <v>108</v>
      </c>
      <c r="C34" s="114" t="s">
        <v>109</v>
      </c>
      <c r="D34" s="117" t="str">
        <f>" ---  0,5 x ("&amp;Index030&amp;" + "&amp;Index031&amp;") / "&amp;Index031</f>
        <v xml:space="preserve"> ---  0,5 x (115,6 + 127,89) / 127,89</v>
      </c>
      <c r="E34" s="34"/>
    </row>
    <row r="35" spans="2:7" x14ac:dyDescent="0.3">
      <c r="B35" s="113" t="s">
        <v>110</v>
      </c>
      <c r="C35" s="114" t="s">
        <v>111</v>
      </c>
      <c r="D35" s="117" t="str">
        <f>" ---  "&amp;Index030&amp;" / "&amp;Index031</f>
        <v xml:space="preserve"> ---  115,6 / 127,89</v>
      </c>
      <c r="E35" s="34"/>
    </row>
    <row r="36" spans="2:7" ht="28.8" x14ac:dyDescent="0.3">
      <c r="B36" s="113" t="s">
        <v>112</v>
      </c>
      <c r="C36" s="114" t="s">
        <v>113</v>
      </c>
      <c r="D36" s="123" t="e">
        <f ca="1">ROUND((((Basishuurprijs*NieuweIndex)/Basisindex)*12)-(Index!G23*12),2)</f>
        <v>#VALUE!</v>
      </c>
      <c r="E36" s="34"/>
    </row>
    <row r="37" spans="2:7" x14ac:dyDescent="0.3">
      <c r="B37" s="113" t="s">
        <v>114</v>
      </c>
      <c r="C37" s="114" t="s">
        <v>117</v>
      </c>
      <c r="D37" s="117">
        <f ca="1">IF(MONTH(Startdatum)=1,YEAR(Index015)-1,YEAR(Index015))</f>
        <v>2023</v>
      </c>
      <c r="E37" s="34"/>
    </row>
    <row r="38" spans="2:7" x14ac:dyDescent="0.3">
      <c r="B38" s="113" t="s">
        <v>118</v>
      </c>
      <c r="C38" s="114" t="s">
        <v>116</v>
      </c>
      <c r="D38" s="117">
        <f ca="1">VLOOKUP(Index035,indices!B3:N39,1+Index007)</f>
        <v>129.53</v>
      </c>
      <c r="E38" s="34"/>
    </row>
    <row r="39" spans="2:7" x14ac:dyDescent="0.3">
      <c r="B39" s="113" t="s">
        <v>119</v>
      </c>
      <c r="C39" s="114" t="s">
        <v>121</v>
      </c>
      <c r="D39" s="124" t="str">
        <f ca="1">"("&amp;Index007&amp;"/"&amp;Index035&amp;")"</f>
        <v>(12/2023)</v>
      </c>
      <c r="E39" s="34"/>
    </row>
    <row r="40" spans="2:7" x14ac:dyDescent="0.3">
      <c r="B40" s="113" t="s">
        <v>120</v>
      </c>
      <c r="C40" s="114" t="s">
        <v>122</v>
      </c>
      <c r="D40" s="117" t="e">
        <f>"("&amp;Index062&amp;"/"&amp;Index063&amp;")"</f>
        <v>#VALUE!</v>
      </c>
      <c r="E40" s="34"/>
    </row>
    <row r="41" spans="2:7" x14ac:dyDescent="0.3">
      <c r="B41" s="113" t="s">
        <v>123</v>
      </c>
      <c r="C41" s="114" t="s">
        <v>124</v>
      </c>
      <c r="D41" s="117" t="e">
        <f>IF(Contractdatum&gt;=EDATE(Index018,-11),Index038,IF(Startdatum&lt;EDATE(Index018,-11),"("&amp;Index007&amp;"/2017)",Index038))</f>
        <v>#VALUE!</v>
      </c>
      <c r="E41" s="34"/>
      <c r="G41" s="66"/>
    </row>
    <row r="42" spans="2:7" x14ac:dyDescent="0.3">
      <c r="B42" s="113" t="s">
        <v>127</v>
      </c>
      <c r="C42" s="114" t="s">
        <v>128</v>
      </c>
      <c r="D42" s="148" t="e">
        <f>IF(Index008&gt;Index022,"("&amp;Index007&amp;"/"&amp;Index008&amp;")","("&amp;Index007&amp;"/"&amp;Index022&amp;")")</f>
        <v>#NUM!</v>
      </c>
      <c r="E42" s="34"/>
    </row>
    <row r="43" spans="2:7" x14ac:dyDescent="0.3">
      <c r="B43" s="113" t="s">
        <v>129</v>
      </c>
      <c r="C43" s="114" t="s">
        <v>130</v>
      </c>
      <c r="D43" s="117" t="str">
        <f>"("&amp;Index007&amp;"/"&amp;Index026&amp;")"</f>
        <v>(12/---)</v>
      </c>
      <c r="E43" s="34"/>
    </row>
    <row r="44" spans="2:7" ht="28.8" x14ac:dyDescent="0.3">
      <c r="B44" s="113" t="s">
        <v>131</v>
      </c>
      <c r="C44" s="114" t="s">
        <v>133</v>
      </c>
      <c r="D44" s="115" t="e">
        <f>EDATE(Index009,-3)</f>
        <v>#NUM!</v>
      </c>
      <c r="E44" s="34"/>
    </row>
    <row r="45" spans="2:7" x14ac:dyDescent="0.3">
      <c r="B45" s="113" t="s">
        <v>132</v>
      </c>
      <c r="C45" s="114" t="s">
        <v>134</v>
      </c>
      <c r="D45" s="117">
        <f ca="1">Index035-1</f>
        <v>2022</v>
      </c>
      <c r="E45" s="34"/>
    </row>
    <row r="46" spans="2:7" x14ac:dyDescent="0.3">
      <c r="B46" s="113" t="s">
        <v>135</v>
      </c>
      <c r="C46" s="114" t="s">
        <v>137</v>
      </c>
      <c r="D46" s="117">
        <f ca="1">VLOOKUP(Index043,indices!B3:N39,1+Index007)</f>
        <v>127.89</v>
      </c>
      <c r="E46" s="125"/>
    </row>
    <row r="47" spans="2:7" x14ac:dyDescent="0.3">
      <c r="B47" s="126"/>
      <c r="C47" s="127" t="s">
        <v>138</v>
      </c>
      <c r="D47" s="122"/>
      <c r="E47" s="34"/>
    </row>
    <row r="48" spans="2:7" x14ac:dyDescent="0.3">
      <c r="B48" s="113" t="s">
        <v>136</v>
      </c>
      <c r="C48" s="114" t="s">
        <v>139</v>
      </c>
      <c r="D48" s="123" t="e">
        <f ca="1">(Basishuurprijs*Index044)/Basisindex</f>
        <v>#VALUE!</v>
      </c>
      <c r="E48" s="34"/>
    </row>
    <row r="49" spans="2:6" x14ac:dyDescent="0.3">
      <c r="B49" s="113" t="s">
        <v>141</v>
      </c>
      <c r="C49" s="114" t="s">
        <v>140</v>
      </c>
      <c r="D49" s="123" t="e">
        <f ca="1">(Basishuurprijs*Index036)/Basisindex</f>
        <v>#VALUE!</v>
      </c>
      <c r="E49" s="34"/>
    </row>
    <row r="50" spans="2:6" x14ac:dyDescent="0.3">
      <c r="B50" s="113" t="s">
        <v>142</v>
      </c>
      <c r="C50" s="114" t="s">
        <v>143</v>
      </c>
      <c r="D50" s="123" t="e">
        <f ca="1">Index048-Index045</f>
        <v>#VALUE!</v>
      </c>
      <c r="E50" s="34"/>
    </row>
    <row r="51" spans="2:6" x14ac:dyDescent="0.3">
      <c r="B51" s="113" t="s">
        <v>144</v>
      </c>
      <c r="C51" s="114" t="s">
        <v>145</v>
      </c>
      <c r="D51" s="123" t="e">
        <f ca="1">(Index045+Index046)/2</f>
        <v>#VALUE!</v>
      </c>
      <c r="E51" s="34"/>
    </row>
    <row r="52" spans="2:6" x14ac:dyDescent="0.3">
      <c r="B52" s="113" t="s">
        <v>146</v>
      </c>
      <c r="C52" s="114" t="s">
        <v>147</v>
      </c>
      <c r="D52" s="128" t="str">
        <f ca="1">"("&amp;Index007&amp;"/"&amp;Index043&amp;") " &amp; IF(FN="NL",VLOOKUP(43,Taal!B2:D63,3,FALSE),VLOOKUP(43,Taal!B2:D63,2,FALSE))</f>
        <v>(12/2022)  Geen verhoging vanaf 14/10/2022 tot en met 13/10/2023 (Art. 224/2)</v>
      </c>
      <c r="E52" s="34"/>
    </row>
    <row r="53" spans="2:6" ht="28.8" x14ac:dyDescent="0.3">
      <c r="B53" s="113" t="s">
        <v>148</v>
      </c>
      <c r="C53" s="114" t="s">
        <v>149</v>
      </c>
      <c r="D53" s="129" t="str">
        <f ca="1">"("&amp;Index007&amp;"/"&amp;Index035&amp;") " &amp; IF(FN="NL",VLOOKUP(44,Taal!B2:D63,3,FALSE),VLOOKUP(44,Taal!B2:D63,2,FALSE))</f>
        <v>(12/2023)  vanaf 14/10/2022 tot en met 13/10/2023 enkel verhoging met maximaal 50% (Art. 224/2)</v>
      </c>
      <c r="E53" s="34"/>
    </row>
    <row r="54" spans="2:6" x14ac:dyDescent="0.3">
      <c r="B54" s="113" t="s">
        <v>172</v>
      </c>
      <c r="C54" s="114" t="s">
        <v>173</v>
      </c>
      <c r="D54" s="128" t="str">
        <f ca="1">IF(OR(MondelingeOvereenkomst=1,GeenIndexatie = 0,NietGeregistreerd=1,Index016="N"),IF(FN="NL",VLOOKUP(46,Taal!B2:D63,3,FALSE),VLOOKUP(46,Taal!B2:D63,2,FALSE)),"---")</f>
        <v>Geen</v>
      </c>
      <c r="E54" s="34"/>
    </row>
    <row r="55" spans="2:6" x14ac:dyDescent="0.3">
      <c r="B55" s="113" t="s">
        <v>174</v>
      </c>
      <c r="C55" s="114" t="s">
        <v>183</v>
      </c>
      <c r="D55" s="115">
        <f ca="1">IF(AND(Index015&gt;DATE(2023,MONTH(Startdatum),DAY(Startdatum)),YEAR(Index015)&lt;2024),Index015,DATE(2023,MONTH(Startdatum),DAY(Startdatum)))</f>
        <v>44926</v>
      </c>
      <c r="E55" s="34"/>
      <c r="F55">
        <f ca="1">YEAR(Index015)</f>
        <v>2024</v>
      </c>
    </row>
    <row r="56" spans="2:6" ht="28.8" x14ac:dyDescent="0.3">
      <c r="B56" s="113" t="s">
        <v>175</v>
      </c>
      <c r="C56" s="114" t="s">
        <v>184</v>
      </c>
      <c r="D56" s="129" t="str">
        <f>"0,5 x ((" &amp; IF(FN="NL",VLOOKUP(17,Taal!B2:D63,3,FALSE),VLOOKUP(17,Taal!B2:D63,2,FALSE)) &amp; IF(MONTH(Startdatum)=1," 12/2022 + "," "&amp; MONTH(Startdatum)-1 &amp;"/2022 + ") &amp; IF(FN="NL",VLOOKUP(17,Taal!B2:D63,3,FALSE),VLOOKUP(17,Taal!B2:D63,2,FALSE))&amp;IF(MONTH(Startdatum)=1," 12/2023 / "," "&amp;MONTH(Startdatum)-1&amp;"/2023) / ")&amp;IF(FN="NL",VLOOKUP(17,Taal!B2:D63,3,FALSE),VLOOKUP(17,Taal!B2:D63,2,FALSE))&amp;IF(MONTH(Startdatum)=1," 12/2023 "," "&amp;MONTH(Startdatum)-1&amp;"/2023 ")&amp;Index032</f>
        <v>0,5 x ((indexcijfer 12/2022 + indexcijfer 12/2023 / indexcijfer 12/2023  ---  0,5 x (115,6 + 127,89) / 127,89</v>
      </c>
      <c r="E56" s="34"/>
    </row>
    <row r="57" spans="2:6" ht="28.8" x14ac:dyDescent="0.3">
      <c r="B57" s="113" t="s">
        <v>181</v>
      </c>
      <c r="C57" s="114" t="s">
        <v>185</v>
      </c>
      <c r="D57" s="130" t="str">
        <f>"0,5 x (("&amp;IF(FN="NL",VLOOKUP(17,Taal!B2:D63,3,FALSE),VLOOKUP(17,Taal!B2:D63,2,FALSE))&amp;" " &amp; IF(MONTH(Startdatum)=1," 12/2021 + "," "&amp; MONTH(Startdatum)-1 &amp;"/2021 + ")&amp;IF(FN="NL",VLOOKUP(17,Taal!B2:D63,3,FALSE),VLOOKUP(17,Taal!B2:D63,2,FALSE))&amp;" "&amp;IF(MONTH(Startdatum)=1," 12/2021 / "," "&amp;MONTH(Startdatum)-1&amp;"/2022) / ")&amp;IF(FN="NL",VLOOKUP(17,Taal!B2:D63,3,FALSE),VLOOKUP(17,Taal!B2:D63,2,FALSE))&amp;" "&amp;IF(MONTH(Startdatum)=1," 12/2022 "," "&amp;MONTH(Startdatum)-1&amp;"/2022 ")&amp;Index032</f>
        <v>0,5 x ((indexcijfer  12/2021 + indexcijfer  12/2021 / indexcijfer  12/2022  ---  0,5 x (115,6 + 127,89) / 127,89</v>
      </c>
      <c r="E57" s="34"/>
    </row>
    <row r="58" spans="2:6" x14ac:dyDescent="0.3">
      <c r="B58" s="113" t="s">
        <v>182</v>
      </c>
      <c r="C58" s="114" t="s">
        <v>186</v>
      </c>
      <c r="D58" s="130" t="str">
        <f>IF(FN="NL",VLOOKUP(17,Taal!B2:D63,3,FALSE),VLOOKUP(17,Taal!B2:D63,2,FALSE)) &amp; IF(MONTH(Startdatum)=1," 12"," " &amp; MONTH(Startdatum)-1) &amp;"/2022  / "&amp; IF(FN="NL",VLOOKUP(17,Taal!B2:D63,3,FALSE),VLOOKUP(17,Taal!B2:D63,2,FALSE)) &amp; IF(MONTH(Startdatum)=1," 12/2023"," " &amp; MONTH(Startdatum)-1 &amp; "/2023 ") &amp; Index033</f>
        <v>indexcijfer 12/2022  / indexcijfer 12/2023 ---  115,6 / 127,89</v>
      </c>
      <c r="E58" s="34"/>
    </row>
    <row r="59" spans="2:6" x14ac:dyDescent="0.3">
      <c r="B59" s="113" t="s">
        <v>188</v>
      </c>
      <c r="C59" s="114" t="s">
        <v>187</v>
      </c>
      <c r="D59" s="130" t="str">
        <f>IF(FN="NL",VLOOKUP(17,Taal!B2:D63,3,FALSE),VLOOKUP(17,Taal!B2:D63,2,FALSE))&amp;" "&amp;IF(MONTH(Startdatum)&gt;1,MONTH(Startdatum)-1,12)&amp;"/2021  / "&amp;IF(FN="NL",VLOOKUP(17,Taal!B2:D63,3,FALSE),VLOOKUP(17,Taal!B2:D63,2,FALSE))&amp;" "&amp;IF(MONTH(Startdatum)&gt;1,MONTH(Startdatum)-1,12)&amp;"/2022 "&amp;Index033</f>
        <v>indexcijfer 12/2021  / indexcijfer 12/2022  ---  115,6 / 127,89</v>
      </c>
      <c r="E59" s="34"/>
    </row>
    <row r="60" spans="2:6" x14ac:dyDescent="0.3">
      <c r="B60" s="113" t="s">
        <v>198</v>
      </c>
      <c r="C60" s="114" t="s">
        <v>202</v>
      </c>
      <c r="D60" s="128" t="str">
        <f ca="1">IF(Index051&lt;&gt;"---",Index051,Index059)</f>
        <v>Geen</v>
      </c>
      <c r="E60" s="34"/>
    </row>
    <row r="61" spans="2:6" x14ac:dyDescent="0.3">
      <c r="B61" s="113" t="s">
        <v>201</v>
      </c>
      <c r="C61" s="114" t="s">
        <v>46</v>
      </c>
      <c r="D61" s="128">
        <f ca="1">IF(Index051&lt;&gt;"---",1,"Nog te bepalen")</f>
        <v>1</v>
      </c>
      <c r="E61" s="34"/>
    </row>
    <row r="62" spans="2:6" ht="13.5" customHeight="1" x14ac:dyDescent="0.3">
      <c r="B62" s="113" t="s">
        <v>211</v>
      </c>
      <c r="C62" s="114" t="s">
        <v>212</v>
      </c>
      <c r="D62" s="128" t="str">
        <f>IF(Energieklasse2="E",IF(AND(Index052&gt;=Index005,Index052&gt;=Index078),Index054,Index053),IF(Energieklasse2&gt;"E",IF(AND(Index052&gt;=Index005,Index052&gt;=Index078),Index056,Index055),"---"))</f>
        <v>---</v>
      </c>
      <c r="E62" s="34"/>
    </row>
    <row r="63" spans="2:6" x14ac:dyDescent="0.3">
      <c r="B63" s="113" t="s">
        <v>199</v>
      </c>
      <c r="C63" s="114" t="s">
        <v>200</v>
      </c>
      <c r="D63" s="117" t="str">
        <f ca="1">IF(AND(Index011&lt;Index004),"Y","N")</f>
        <v>N</v>
      </c>
      <c r="E63" s="34"/>
    </row>
    <row r="64" spans="2:6" x14ac:dyDescent="0.3">
      <c r="B64" s="113" t="s">
        <v>205</v>
      </c>
      <c r="C64" s="119" t="s">
        <v>206</v>
      </c>
      <c r="D64" s="120" t="str">
        <f>Contractdatum</f>
        <v>---</v>
      </c>
      <c r="E64" s="34"/>
    </row>
    <row r="65" spans="2:6" x14ac:dyDescent="0.3">
      <c r="B65" s="113" t="s">
        <v>207</v>
      </c>
      <c r="C65" s="114" t="s">
        <v>208</v>
      </c>
      <c r="D65" s="117" t="e">
        <f>MONTH(EDATE(Index061,-1))</f>
        <v>#VALUE!</v>
      </c>
      <c r="E65" s="34"/>
    </row>
    <row r="66" spans="2:6" x14ac:dyDescent="0.3">
      <c r="B66" s="113" t="s">
        <v>209</v>
      </c>
      <c r="C66" s="114" t="s">
        <v>210</v>
      </c>
      <c r="D66" s="117" t="e">
        <f>YEAR(EDATE(Index061,-1))</f>
        <v>#VALUE!</v>
      </c>
      <c r="E66" s="34"/>
    </row>
    <row r="67" spans="2:6" x14ac:dyDescent="0.3">
      <c r="B67" s="113" t="s">
        <v>224</v>
      </c>
      <c r="C67" s="114" t="s">
        <v>225</v>
      </c>
      <c r="D67" s="115">
        <f>DATE(2022,MONTH(Startdatum),DAY(Startdatum))</f>
        <v>44561</v>
      </c>
      <c r="E67" s="34"/>
    </row>
    <row r="68" spans="2:6" x14ac:dyDescent="0.3">
      <c r="B68" s="113" t="s">
        <v>250</v>
      </c>
      <c r="C68" s="114" t="s">
        <v>251</v>
      </c>
      <c r="D68" s="143" t="s">
        <v>249</v>
      </c>
    </row>
    <row r="69" spans="2:6" x14ac:dyDescent="0.3">
      <c r="B69" s="113" t="s">
        <v>252</v>
      </c>
      <c r="C69" s="114" t="s">
        <v>253</v>
      </c>
      <c r="D69" s="115">
        <v>45291</v>
      </c>
    </row>
    <row r="70" spans="2:6" ht="28.8" x14ac:dyDescent="0.3">
      <c r="B70" s="113" t="s">
        <v>254</v>
      </c>
      <c r="C70" s="114" t="s">
        <v>256</v>
      </c>
      <c r="D70" s="115" t="str">
        <f>IF(NietGeregistreerd=1,IF(Index009&lt;DATE(YEAR(Index005)-1,10,14),"Yes","No"),IF(AND(NietGeregistreerd=0,EPBVoorgelegd=1),IF(Index009&lt;DATE(YEAR(Index005)-1,10,14),"Yes","No"),"No"))</f>
        <v>No</v>
      </c>
      <c r="F70" s="115" t="str">
        <f>IF(AND(NietGeregistreerd=0,EPBVoorgelegd=1),IF(Index009&lt;DATE(YEAR(Index005)-1,10,14),"Yes","No"),"No")</f>
        <v>No</v>
      </c>
    </row>
    <row r="71" spans="2:6" ht="28.8" x14ac:dyDescent="0.3">
      <c r="B71" s="113" t="s">
        <v>255</v>
      </c>
      <c r="C71" s="114" t="s">
        <v>258</v>
      </c>
      <c r="D71" s="117">
        <f ca="1">IF(Index016="Y",2021,2022)</f>
        <v>2021</v>
      </c>
    </row>
    <row r="72" spans="2:6" ht="28.8" x14ac:dyDescent="0.3">
      <c r="B72" s="113" t="s">
        <v>259</v>
      </c>
      <c r="C72" s="114" t="s">
        <v>260</v>
      </c>
      <c r="D72" s="117" t="e">
        <f>IF(Index!AA17=1,IF(Index!G18&gt;0,Index!G18,IF(Index063+1&gt;Index068,Index063,Index063+1)),Index063)</f>
        <v>#VALUE!</v>
      </c>
    </row>
    <row r="73" spans="2:6" x14ac:dyDescent="0.3">
      <c r="B73" s="113" t="s">
        <v>261</v>
      </c>
      <c r="C73" s="114" t="s">
        <v>262</v>
      </c>
      <c r="D73" s="117" t="e">
        <f>"("&amp;Index007&amp;"/"&amp;Index075&amp;")"</f>
        <v>#VALUE!</v>
      </c>
    </row>
    <row r="74" spans="2:6" x14ac:dyDescent="0.3">
      <c r="B74" s="113" t="s">
        <v>263</v>
      </c>
      <c r="C74" s="114" t="s">
        <v>264</v>
      </c>
      <c r="D74" s="117" t="str">
        <f>IF(OR(NietGeregistreerd=1,AND(NietGeregistreerd=0,EPBVoorgelegd=1)),VLOOKUP(D78,indices!B3:N39,1+Index007),"---")</f>
        <v>---</v>
      </c>
    </row>
    <row r="75" spans="2:6" ht="28.8" x14ac:dyDescent="0.3">
      <c r="B75" s="113" t="s">
        <v>272</v>
      </c>
      <c r="C75" s="114" t="s">
        <v>274</v>
      </c>
    </row>
    <row r="76" spans="2:6" ht="28.8" x14ac:dyDescent="0.3">
      <c r="B76" s="113" t="s">
        <v>273</v>
      </c>
      <c r="C76" s="114" t="s">
        <v>275</v>
      </c>
    </row>
    <row r="77" spans="2:6" x14ac:dyDescent="0.3">
      <c r="B77" s="113" t="s">
        <v>276</v>
      </c>
      <c r="C77" s="114" t="s">
        <v>277</v>
      </c>
      <c r="D77" s="117" t="e">
        <f>IF(Index!G18&gt;0,Index!G18,IF(YEAR(Index061)&lt;=2020,YEAR(Index061)+1,IF(Index061&lt;D79,2022,2021)))</f>
        <v>#VALUE!</v>
      </c>
    </row>
    <row r="78" spans="2:6" x14ac:dyDescent="0.3">
      <c r="B78" s="113" t="s">
        <v>278</v>
      </c>
      <c r="C78" s="114" t="s">
        <v>280</v>
      </c>
      <c r="D78" s="117" t="e">
        <f>IF(Index007=12,Index074-1,Index074)</f>
        <v>#VALUE!</v>
      </c>
    </row>
    <row r="79" spans="2:6" x14ac:dyDescent="0.3">
      <c r="B79" s="113" t="s">
        <v>279</v>
      </c>
      <c r="C79" s="114" t="s">
        <v>281</v>
      </c>
      <c r="D79" s="115">
        <f>DATE(2021,MONTH(Index005),DAY(Index005))</f>
        <v>44483</v>
      </c>
    </row>
    <row r="80" spans="2:6" x14ac:dyDescent="0.3">
      <c r="B80" s="113" t="s">
        <v>282</v>
      </c>
      <c r="C80" s="114" t="s">
        <v>283</v>
      </c>
      <c r="D80" s="117" t="e">
        <f>MONTH(EDATE(Index009,-1))</f>
        <v>#NUM!</v>
      </c>
    </row>
    <row r="81" spans="2:4" x14ac:dyDescent="0.3">
      <c r="B81" s="113" t="s">
        <v>284</v>
      </c>
      <c r="C81" s="114" t="s">
        <v>285</v>
      </c>
      <c r="D81" s="115">
        <f>DATE(YEAR(Index005)+1,MONTH(Index005),DAY(Index005))</f>
        <v>45213</v>
      </c>
    </row>
  </sheetData>
  <sheetProtection algorithmName="SHA-512" hashValue="7VJDXXPW0rFLOG+iU2XvB6/tPx7hQpttkcsdcadG9ZbPkEo2F2rARuLxA/fTJs7guWrWAHAwTYpzWUJalQcGkw==" saltValue="eZGAKE75TNCGyZsZXE60TA==" spinCount="100000" sheet="1" selectLockedCells="1" selectUnlockedCells="1"/>
  <phoneticPr fontId="5" type="noConversion"/>
  <hyperlinks>
    <hyperlink ref="D68" r:id="rId1" xr:uid="{E632F032-9FB7-43EE-9A8C-349F96FC1A7E}"/>
  </hyperlinks>
  <pageMargins left="0.25" right="0.25" top="0.75" bottom="0.75" header="0.3" footer="0.3"/>
  <pageSetup paperSize="8" scale="79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3A71-D3F2-4697-97EA-8591ADFD19EE}">
  <sheetPr codeName="Sheet13">
    <pageSetUpPr fitToPage="1"/>
  </sheetPr>
  <dimension ref="A1:J258"/>
  <sheetViews>
    <sheetView zoomScaleNormal="100" workbookViewId="0">
      <selection activeCell="C60" sqref="C60"/>
    </sheetView>
  </sheetViews>
  <sheetFormatPr defaultColWidth="0" defaultRowHeight="14.4" x14ac:dyDescent="0.3"/>
  <cols>
    <col min="1" max="1" width="1.5546875" customWidth="1"/>
    <col min="2" max="2" width="5.6640625" style="6" customWidth="1"/>
    <col min="3" max="3" width="79.33203125" style="72" customWidth="1"/>
    <col min="4" max="4" width="89.44140625" style="72" customWidth="1"/>
    <col min="5" max="6" width="1.44140625" customWidth="1"/>
    <col min="7" max="9" width="9.33203125" customWidth="1"/>
    <col min="10" max="10" width="1.33203125" customWidth="1"/>
    <col min="11" max="16384" width="9.33203125" hidden="1"/>
  </cols>
  <sheetData>
    <row r="1" spans="2:9" ht="22.2" customHeight="1" x14ac:dyDescent="0.3"/>
    <row r="2" spans="2:9" x14ac:dyDescent="0.3">
      <c r="B2" s="96" t="s">
        <v>3</v>
      </c>
      <c r="C2" s="97" t="s">
        <v>1</v>
      </c>
      <c r="D2" s="97" t="s">
        <v>2</v>
      </c>
      <c r="E2" s="34"/>
      <c r="F2" s="34"/>
      <c r="G2" s="34" t="s">
        <v>7</v>
      </c>
      <c r="H2" s="34" t="s">
        <v>8</v>
      </c>
      <c r="I2" s="34" t="s">
        <v>2</v>
      </c>
    </row>
    <row r="3" spans="2:9" x14ac:dyDescent="0.3">
      <c r="B3" s="98">
        <v>1</v>
      </c>
      <c r="C3" s="99" t="s">
        <v>150</v>
      </c>
      <c r="D3" s="100" t="s">
        <v>65</v>
      </c>
      <c r="E3" s="34"/>
      <c r="F3" s="34"/>
      <c r="G3" s="34" t="str">
        <f>IF(FN="FR",TLijstJaNee[[#This Row],[Fr]],TLijstJaNee[[#This Row],[NL]])</f>
        <v>Ja</v>
      </c>
      <c r="H3" s="34" t="s">
        <v>4</v>
      </c>
      <c r="I3" s="34" t="s">
        <v>5</v>
      </c>
    </row>
    <row r="4" spans="2:9" x14ac:dyDescent="0.3">
      <c r="B4" s="98">
        <v>2</v>
      </c>
      <c r="C4" s="99" t="s">
        <v>155</v>
      </c>
      <c r="D4" s="100" t="s">
        <v>66</v>
      </c>
      <c r="E4" s="34"/>
      <c r="F4" s="34"/>
      <c r="G4" s="34" t="str">
        <f>IF(FN="FR",TLijstJaNee[[#This Row],[Fr]],TLijstJaNee[[#This Row],[NL]])</f>
        <v>Nee</v>
      </c>
      <c r="H4" s="34" t="s">
        <v>0</v>
      </c>
      <c r="I4" s="34" t="s">
        <v>6</v>
      </c>
    </row>
    <row r="5" spans="2:9" x14ac:dyDescent="0.3">
      <c r="B5" s="98">
        <v>3</v>
      </c>
      <c r="C5" s="101" t="s">
        <v>179</v>
      </c>
      <c r="D5" s="100" t="s">
        <v>67</v>
      </c>
      <c r="E5" s="34"/>
      <c r="F5" s="34"/>
      <c r="G5" s="34" t="str">
        <f>IF(FN="FR",TLijstJaNee[[#This Row],[Fr]],TLijstJaNee[[#This Row],[NL]])</f>
        <v>?</v>
      </c>
      <c r="H5" s="34" t="s">
        <v>9</v>
      </c>
      <c r="I5" s="34" t="s">
        <v>9</v>
      </c>
    </row>
    <row r="6" spans="2:9" x14ac:dyDescent="0.3">
      <c r="B6" s="98">
        <v>4</v>
      </c>
      <c r="C6" s="97" t="s">
        <v>151</v>
      </c>
      <c r="D6" s="102" t="s">
        <v>11</v>
      </c>
      <c r="E6" s="34"/>
      <c r="F6" s="34"/>
      <c r="G6" s="34"/>
      <c r="H6" s="34"/>
      <c r="I6" s="34"/>
    </row>
    <row r="7" spans="2:9" x14ac:dyDescent="0.3">
      <c r="B7" s="98">
        <v>5</v>
      </c>
      <c r="C7" s="97" t="s">
        <v>213</v>
      </c>
      <c r="D7" s="102" t="s">
        <v>34</v>
      </c>
      <c r="E7" s="34"/>
      <c r="F7" s="34"/>
      <c r="G7" s="34"/>
      <c r="H7" s="34"/>
      <c r="I7" s="34"/>
    </row>
    <row r="8" spans="2:9" x14ac:dyDescent="0.3">
      <c r="B8" s="98">
        <v>6</v>
      </c>
      <c r="C8" s="101" t="s">
        <v>178</v>
      </c>
      <c r="D8" s="100" t="s">
        <v>64</v>
      </c>
      <c r="E8" s="34"/>
      <c r="F8" s="34"/>
      <c r="G8" s="34"/>
      <c r="H8" s="34"/>
      <c r="I8" s="34"/>
    </row>
    <row r="9" spans="2:9" ht="28.8" x14ac:dyDescent="0.3">
      <c r="B9" s="98">
        <v>7</v>
      </c>
      <c r="C9" s="97" t="s">
        <v>245</v>
      </c>
      <c r="D9" s="102" t="s">
        <v>63</v>
      </c>
      <c r="E9" s="34"/>
      <c r="F9" s="34"/>
      <c r="G9" s="34"/>
      <c r="H9" s="34"/>
      <c r="I9" s="34"/>
    </row>
    <row r="10" spans="2:9" ht="28.8" x14ac:dyDescent="0.3">
      <c r="B10" s="98">
        <v>8</v>
      </c>
      <c r="C10" s="97" t="str">
        <f>"Depuis le "&amp;DAY(Index005)&amp;"/"&amp;MONTH(Index005)&amp;"/"&amp;YEAR(Index005)&amp;", l'indexation du loyer d'un bail d'habitation non enregistré n'est plus autorisée (art. 224/2)."</f>
        <v>Depuis le 14/10/2022, l'indexation du loyer d'un bail d'habitation non enregistré n'est plus autorisée (art. 224/2).</v>
      </c>
      <c r="D10" s="102" t="str">
        <f>"Indexering van een niet geregistreerde woninghuurovereenkomst is sinds "&amp;DAY(Index005)&amp;"/"&amp;MONTH(Index005)&amp;"/"&amp;YEAR(Index005)&amp;" niet langer toegestaan (Art. 224/2)."</f>
        <v>Indexering van een niet geregistreerde woninghuurovereenkomst is sinds 14/10/2022 niet langer toegestaan (Art. 224/2).</v>
      </c>
      <c r="E10" s="34"/>
      <c r="F10" s="34"/>
      <c r="G10" s="34"/>
      <c r="H10" s="34"/>
      <c r="I10" s="34"/>
    </row>
    <row r="11" spans="2:9" x14ac:dyDescent="0.3">
      <c r="B11" s="98">
        <v>9</v>
      </c>
      <c r="C11" s="97" t="s">
        <v>156</v>
      </c>
      <c r="D11" s="102" t="s">
        <v>12</v>
      </c>
      <c r="E11" s="34"/>
      <c r="F11" s="34"/>
      <c r="G11" s="34"/>
      <c r="H11" s="34"/>
      <c r="I11" s="34"/>
    </row>
    <row r="12" spans="2:9" x14ac:dyDescent="0.3">
      <c r="B12" s="98">
        <v>10</v>
      </c>
      <c r="C12" s="101" t="s">
        <v>189</v>
      </c>
      <c r="D12" s="100" t="s">
        <v>214</v>
      </c>
      <c r="E12" s="34"/>
      <c r="F12" s="34"/>
      <c r="G12" s="34"/>
      <c r="H12" s="34"/>
      <c r="I12" s="34"/>
    </row>
    <row r="13" spans="2:9" x14ac:dyDescent="0.3">
      <c r="B13" s="98">
        <v>11</v>
      </c>
      <c r="C13" s="97" t="s">
        <v>215</v>
      </c>
      <c r="D13" s="102" t="s">
        <v>13</v>
      </c>
      <c r="E13" s="34"/>
      <c r="F13" s="34"/>
      <c r="G13" s="34"/>
      <c r="H13" s="34"/>
      <c r="I13" s="34"/>
    </row>
    <row r="14" spans="2:9" ht="28.8" x14ac:dyDescent="0.3">
      <c r="B14" s="98">
        <v>12</v>
      </c>
      <c r="C14" s="97" t="s">
        <v>167</v>
      </c>
      <c r="D14" s="102" t="s">
        <v>216</v>
      </c>
      <c r="E14" s="34"/>
      <c r="F14" s="34"/>
      <c r="G14" s="34"/>
      <c r="H14" s="34"/>
      <c r="I14" s="34"/>
    </row>
    <row r="15" spans="2:9" x14ac:dyDescent="0.3">
      <c r="B15" s="98">
        <v>13</v>
      </c>
      <c r="C15" s="97" t="s">
        <v>217</v>
      </c>
      <c r="D15" s="102" t="s">
        <v>14</v>
      </c>
      <c r="E15" s="34"/>
      <c r="F15" s="34"/>
      <c r="G15" s="34"/>
      <c r="H15" s="34"/>
      <c r="I15" s="34"/>
    </row>
    <row r="16" spans="2:9" x14ac:dyDescent="0.3">
      <c r="B16" s="98">
        <v>14</v>
      </c>
      <c r="C16" s="97" t="s">
        <v>235</v>
      </c>
      <c r="D16" s="97" t="s">
        <v>234</v>
      </c>
      <c r="E16" s="34"/>
      <c r="F16" s="34"/>
      <c r="G16" s="34"/>
      <c r="H16" s="34"/>
      <c r="I16" s="34"/>
    </row>
    <row r="17" spans="2:9" ht="28.8" x14ac:dyDescent="0.3">
      <c r="B17" s="103">
        <v>15</v>
      </c>
      <c r="C17" s="104" t="s">
        <v>153</v>
      </c>
      <c r="D17" s="102" t="s">
        <v>152</v>
      </c>
      <c r="E17" s="34"/>
      <c r="F17" s="34"/>
      <c r="G17" s="34"/>
      <c r="H17" s="34"/>
      <c r="I17" s="34"/>
    </row>
    <row r="18" spans="2:9" x14ac:dyDescent="0.3">
      <c r="B18" s="103">
        <v>16</v>
      </c>
      <c r="C18" s="104" t="s">
        <v>159</v>
      </c>
      <c r="D18" s="102" t="s">
        <v>15</v>
      </c>
      <c r="E18" s="34"/>
      <c r="F18" s="34"/>
      <c r="G18" s="34"/>
      <c r="H18" s="34"/>
      <c r="I18" s="34"/>
    </row>
    <row r="19" spans="2:9" x14ac:dyDescent="0.3">
      <c r="B19" s="103">
        <v>17</v>
      </c>
      <c r="C19" s="104" t="s">
        <v>218</v>
      </c>
      <c r="D19" s="102" t="s">
        <v>16</v>
      </c>
      <c r="E19" s="34"/>
      <c r="F19" s="34"/>
      <c r="G19" s="34"/>
      <c r="H19" s="34"/>
      <c r="I19" s="34"/>
    </row>
    <row r="20" spans="2:9" x14ac:dyDescent="0.3">
      <c r="B20" s="103">
        <v>18</v>
      </c>
      <c r="C20" s="104" t="s">
        <v>157</v>
      </c>
      <c r="D20" s="102" t="s">
        <v>35</v>
      </c>
      <c r="E20" s="34"/>
      <c r="F20" s="34"/>
      <c r="G20" s="34"/>
      <c r="H20" s="34"/>
      <c r="I20" s="34"/>
    </row>
    <row r="21" spans="2:9" x14ac:dyDescent="0.3">
      <c r="B21" s="103">
        <v>19</v>
      </c>
      <c r="C21" s="104" t="s">
        <v>180</v>
      </c>
      <c r="D21" s="102" t="s">
        <v>158</v>
      </c>
      <c r="E21" s="34"/>
      <c r="F21" s="34"/>
      <c r="G21" s="34"/>
      <c r="H21" s="34"/>
      <c r="I21" s="34"/>
    </row>
    <row r="22" spans="2:9" x14ac:dyDescent="0.3">
      <c r="B22" s="103">
        <v>20</v>
      </c>
      <c r="C22" s="102" t="s">
        <v>168</v>
      </c>
      <c r="D22" s="102" t="s">
        <v>39</v>
      </c>
      <c r="E22" s="34"/>
      <c r="F22" s="34"/>
      <c r="G22" s="34"/>
      <c r="H22" s="34"/>
      <c r="I22" s="34"/>
    </row>
    <row r="23" spans="2:9" x14ac:dyDescent="0.3">
      <c r="B23" s="103">
        <v>21</v>
      </c>
      <c r="C23" s="104" t="s">
        <v>169</v>
      </c>
      <c r="D23" s="102" t="s">
        <v>40</v>
      </c>
      <c r="E23" s="34"/>
      <c r="F23" s="34"/>
      <c r="G23" s="34"/>
      <c r="H23" s="34"/>
      <c r="I23" s="34"/>
    </row>
    <row r="24" spans="2:9" x14ac:dyDescent="0.3">
      <c r="B24" s="103">
        <v>22</v>
      </c>
      <c r="C24" s="105"/>
      <c r="D24" s="106"/>
      <c r="E24" s="34"/>
      <c r="F24" s="34"/>
      <c r="G24" s="34"/>
      <c r="H24" s="34"/>
      <c r="I24" s="34"/>
    </row>
    <row r="25" spans="2:9" x14ac:dyDescent="0.3">
      <c r="B25" s="103">
        <v>23</v>
      </c>
      <c r="C25" s="104" t="s">
        <v>244</v>
      </c>
      <c r="D25" s="102" t="s">
        <v>233</v>
      </c>
      <c r="E25" s="34"/>
      <c r="F25" s="34"/>
      <c r="G25" s="34"/>
      <c r="H25" s="34"/>
      <c r="I25" s="34"/>
    </row>
    <row r="26" spans="2:9" x14ac:dyDescent="0.3">
      <c r="B26" s="103">
        <v>24</v>
      </c>
      <c r="C26" s="104" t="s">
        <v>36</v>
      </c>
      <c r="D26" s="102" t="s">
        <v>37</v>
      </c>
      <c r="E26" s="34"/>
      <c r="F26" s="34"/>
      <c r="G26" s="34"/>
      <c r="H26" s="34"/>
      <c r="I26" s="34"/>
    </row>
    <row r="27" spans="2:9" x14ac:dyDescent="0.3">
      <c r="B27" s="103">
        <v>25</v>
      </c>
      <c r="C27" s="104" t="s">
        <v>163</v>
      </c>
      <c r="D27" s="102" t="s">
        <v>38</v>
      </c>
      <c r="E27" s="34"/>
      <c r="F27" s="34"/>
      <c r="G27" s="34"/>
      <c r="H27" s="34"/>
      <c r="I27" s="34"/>
    </row>
    <row r="28" spans="2:9" x14ac:dyDescent="0.3">
      <c r="B28" s="103">
        <v>26</v>
      </c>
      <c r="C28" s="107" t="s">
        <v>170</v>
      </c>
      <c r="D28" s="102" t="s">
        <v>41</v>
      </c>
      <c r="E28" s="34"/>
      <c r="F28" s="34"/>
      <c r="G28" s="34"/>
      <c r="H28" s="34"/>
      <c r="I28" s="34"/>
    </row>
    <row r="29" spans="2:9" x14ac:dyDescent="0.3">
      <c r="B29" s="103">
        <v>27</v>
      </c>
      <c r="C29" s="107" t="s">
        <v>171</v>
      </c>
      <c r="D29" s="102" t="s">
        <v>49</v>
      </c>
      <c r="E29" s="34"/>
      <c r="F29" s="34"/>
      <c r="G29" s="34"/>
      <c r="H29" s="34"/>
      <c r="I29" s="34"/>
    </row>
    <row r="30" spans="2:9" x14ac:dyDescent="0.3">
      <c r="B30" s="103">
        <v>28</v>
      </c>
      <c r="C30" s="107" t="s">
        <v>162</v>
      </c>
      <c r="D30" s="102" t="s">
        <v>45</v>
      </c>
      <c r="E30" s="34"/>
      <c r="F30" s="34"/>
      <c r="G30" s="34"/>
      <c r="H30" s="34"/>
      <c r="I30" s="34"/>
    </row>
    <row r="31" spans="2:9" ht="28.8" x14ac:dyDescent="0.3">
      <c r="B31" s="103">
        <v>29</v>
      </c>
      <c r="C31" s="104" t="str">
        <f>"L'indexation du loyer d'un bail d'habitation oral n'est plus autorisé depuis le "&amp;DAY(Index018)&amp;"/"&amp;MONTH(Index018)&amp;"/"&amp;YEAR(Index018)&amp;". (Art.224/2)."</f>
        <v>L'indexation du loyer d'un bail d'habitation oral n'est plus autorisé depuis le 1/1/2018. (Art.224/2).</v>
      </c>
      <c r="D31" s="102" t="str">
        <f>"De aanpassing van de huurprijs van een mondelinge woninghuurovereenkomst is sinds "&amp;DAY(Index018)&amp;"/"&amp;MONTH(Index018)&amp;"/"&amp;YEAR(Index018)&amp;" niet meer toegestaan. (Art.224/2)."</f>
        <v>De aanpassing van de huurprijs van een mondelinge woninghuurovereenkomst is sinds 1/1/2018 niet meer toegestaan. (Art.224/2).</v>
      </c>
      <c r="E31" s="34"/>
      <c r="F31" s="34"/>
      <c r="G31" s="34"/>
      <c r="H31" s="34"/>
      <c r="I31" s="34"/>
    </row>
    <row r="32" spans="2:9" x14ac:dyDescent="0.3">
      <c r="B32" s="103">
        <v>30</v>
      </c>
      <c r="C32" s="99" t="s">
        <v>197</v>
      </c>
      <c r="D32" s="100" t="s">
        <v>219</v>
      </c>
      <c r="E32" s="34"/>
      <c r="F32" s="34"/>
      <c r="G32" s="34"/>
      <c r="H32" s="34"/>
      <c r="I32" s="34"/>
    </row>
    <row r="33" spans="2:9" x14ac:dyDescent="0.3">
      <c r="B33" s="103">
        <v>31</v>
      </c>
      <c r="C33" s="99" t="s">
        <v>154</v>
      </c>
      <c r="D33" s="100" t="s">
        <v>68</v>
      </c>
      <c r="E33" s="34"/>
      <c r="F33" s="34"/>
      <c r="G33" s="34"/>
      <c r="H33" s="34"/>
      <c r="I33" s="34"/>
    </row>
    <row r="34" spans="2:9" x14ac:dyDescent="0.3">
      <c r="B34" s="103">
        <v>32</v>
      </c>
      <c r="C34" s="104" t="s">
        <v>220</v>
      </c>
      <c r="D34" s="102" t="s">
        <v>71</v>
      </c>
      <c r="E34" s="34"/>
      <c r="F34" s="34"/>
      <c r="G34" s="34"/>
      <c r="H34" s="34"/>
      <c r="I34" s="34"/>
    </row>
    <row r="35" spans="2:9" ht="17.7" customHeight="1" x14ac:dyDescent="0.3">
      <c r="B35" s="103">
        <v>33</v>
      </c>
      <c r="C35" s="99" t="s">
        <v>195</v>
      </c>
      <c r="D35" s="100" t="s">
        <v>194</v>
      </c>
      <c r="E35" s="34"/>
      <c r="F35" s="34"/>
      <c r="G35" s="34"/>
      <c r="H35" s="34"/>
      <c r="I35" s="34"/>
    </row>
    <row r="36" spans="2:9" ht="18" customHeight="1" x14ac:dyDescent="0.3">
      <c r="B36" s="103">
        <v>34</v>
      </c>
      <c r="C36" s="104"/>
      <c r="D36" s="102" t="s">
        <v>125</v>
      </c>
      <c r="E36" s="34"/>
      <c r="F36" s="34"/>
      <c r="G36" s="34"/>
      <c r="H36" s="34"/>
      <c r="I36" s="34"/>
    </row>
    <row r="37" spans="2:9" x14ac:dyDescent="0.3">
      <c r="B37" s="103">
        <v>35</v>
      </c>
      <c r="C37" s="104"/>
      <c r="D37" s="102" t="s">
        <v>86</v>
      </c>
      <c r="E37" s="34"/>
      <c r="F37" s="34"/>
      <c r="G37" s="34"/>
      <c r="H37" s="34"/>
      <c r="I37" s="34"/>
    </row>
    <row r="38" spans="2:9" x14ac:dyDescent="0.3">
      <c r="B38" s="98">
        <v>36</v>
      </c>
      <c r="C38" s="97"/>
      <c r="D38" s="102" t="s">
        <v>126</v>
      </c>
      <c r="E38" s="34"/>
      <c r="F38" s="34"/>
      <c r="G38" s="34"/>
      <c r="H38" s="34"/>
      <c r="I38" s="34"/>
    </row>
    <row r="39" spans="2:9" ht="28.8" x14ac:dyDescent="0.3">
      <c r="B39" s="103">
        <v>37</v>
      </c>
      <c r="C39" s="104" t="s">
        <v>221</v>
      </c>
      <c r="D39" s="102" t="s">
        <v>222</v>
      </c>
      <c r="E39" s="34"/>
      <c r="F39" s="34"/>
      <c r="G39" s="34"/>
      <c r="H39" s="34"/>
      <c r="I39" s="34"/>
    </row>
    <row r="40" spans="2:9" x14ac:dyDescent="0.3">
      <c r="B40" s="103">
        <v>38</v>
      </c>
      <c r="C40" s="104" t="s">
        <v>196</v>
      </c>
      <c r="D40" s="100" t="s">
        <v>223</v>
      </c>
      <c r="E40" s="34"/>
      <c r="F40" s="34"/>
      <c r="G40" s="34"/>
      <c r="H40" s="34"/>
      <c r="I40" s="34"/>
    </row>
    <row r="41" spans="2:9" x14ac:dyDescent="0.3">
      <c r="B41" s="103">
        <v>39</v>
      </c>
      <c r="C41" s="104" t="s">
        <v>161</v>
      </c>
      <c r="D41" s="102" t="s">
        <v>46</v>
      </c>
      <c r="E41" s="34"/>
      <c r="F41" s="34"/>
      <c r="G41" s="34"/>
      <c r="H41" s="34"/>
      <c r="I41" s="34"/>
    </row>
    <row r="42" spans="2:9" ht="16.95" customHeight="1" x14ac:dyDescent="0.3">
      <c r="B42" s="103">
        <v>40</v>
      </c>
      <c r="C42" s="104" t="s">
        <v>166</v>
      </c>
      <c r="D42" s="102" t="s">
        <v>165</v>
      </c>
      <c r="E42" s="34"/>
      <c r="F42" s="34"/>
      <c r="G42" s="34"/>
      <c r="H42" s="34"/>
      <c r="I42" s="34"/>
    </row>
    <row r="43" spans="2:9" x14ac:dyDescent="0.3">
      <c r="B43" s="103">
        <v>41</v>
      </c>
      <c r="C43" s="97" t="s">
        <v>166</v>
      </c>
      <c r="D43" s="102" t="s">
        <v>165</v>
      </c>
      <c r="E43" s="34"/>
      <c r="F43" s="34"/>
      <c r="G43" s="34"/>
      <c r="H43" s="34"/>
      <c r="I43" s="34"/>
    </row>
    <row r="44" spans="2:9" x14ac:dyDescent="0.3">
      <c r="B44" s="98">
        <v>42</v>
      </c>
      <c r="C44" s="97" t="str">
        <f ca="1">"Maximum 50 % de l'indexation autorisée du numéro d'index "&amp;Index037</f>
        <v>Maximum 50 % de l'indexation autorisée du numéro d'index (12/2023)</v>
      </c>
      <c r="D44" s="102" t="str">
        <f ca="1">"Maximaal 50 % van de toegestane indexering van indexcijfer "&amp;Index037</f>
        <v>Maximaal 50 % van de toegestane indexering van indexcijfer (12/2023)</v>
      </c>
      <c r="E44" s="34"/>
      <c r="F44" s="34"/>
      <c r="G44" s="34"/>
      <c r="H44" s="34"/>
      <c r="I44" s="34"/>
    </row>
    <row r="45" spans="2:9" x14ac:dyDescent="0.3">
      <c r="B45" s="98">
        <v>43</v>
      </c>
      <c r="C45" s="97" t="s">
        <v>190</v>
      </c>
      <c r="D45" s="102" t="s">
        <v>191</v>
      </c>
      <c r="E45" s="34"/>
      <c r="F45" s="34"/>
      <c r="G45" s="34"/>
      <c r="H45" s="34"/>
      <c r="I45" s="34"/>
    </row>
    <row r="46" spans="2:9" x14ac:dyDescent="0.3">
      <c r="B46" s="98">
        <v>44</v>
      </c>
      <c r="C46" s="97" t="s">
        <v>192</v>
      </c>
      <c r="D46" s="102" t="s">
        <v>193</v>
      </c>
      <c r="E46" s="34"/>
      <c r="F46" s="34"/>
      <c r="G46" s="34"/>
      <c r="H46" s="34"/>
      <c r="I46" s="34"/>
    </row>
    <row r="47" spans="2:9" x14ac:dyDescent="0.3">
      <c r="B47" s="98">
        <v>45</v>
      </c>
      <c r="C47" s="104" t="str">
        <f>"Le calcul de l'indexation du loyer n'est possible qu'à partir du 01/"&amp;MONTH(EDATE(Index001,1))&amp;"/"&amp;YEAR(EDATE(Index001,1))&amp;"."</f>
        <v>Le calcul de l'indexation du loyer n'est possible qu'à partir du 01/3/2025.</v>
      </c>
      <c r="D47" s="102" t="str">
        <f>"De berekening van de aanpassing van de huurprijs is pas mogelijk vanaf 01/"&amp;MONTH(EDATE(Index001,1))&amp;"/"&amp;YEAR(EDATE(Index001,1))&amp;"."</f>
        <v>De berekening van de aanpassing van de huurprijs is pas mogelijk vanaf 01/3/2025.</v>
      </c>
      <c r="E47" s="34"/>
      <c r="F47" s="34"/>
      <c r="G47" s="34"/>
      <c r="H47" s="34"/>
      <c r="I47" s="34"/>
    </row>
    <row r="48" spans="2:9" x14ac:dyDescent="0.3">
      <c r="B48" s="98">
        <v>46</v>
      </c>
      <c r="C48" s="97" t="s">
        <v>164</v>
      </c>
      <c r="D48" s="102" t="s">
        <v>160</v>
      </c>
      <c r="E48" s="34"/>
      <c r="F48" s="34"/>
      <c r="G48" s="34"/>
      <c r="H48" s="34"/>
      <c r="I48" s="34"/>
    </row>
    <row r="49" spans="2:9" x14ac:dyDescent="0.3">
      <c r="B49" s="98">
        <v>47</v>
      </c>
      <c r="C49" s="97" t="s">
        <v>177</v>
      </c>
      <c r="D49" s="102" t="s">
        <v>176</v>
      </c>
      <c r="E49" s="34"/>
      <c r="F49" s="34"/>
      <c r="G49" s="34"/>
      <c r="H49" s="34"/>
      <c r="I49" s="34"/>
    </row>
    <row r="50" spans="2:9" x14ac:dyDescent="0.3">
      <c r="B50" s="103">
        <v>48</v>
      </c>
      <c r="C50" s="99" t="s">
        <v>203</v>
      </c>
      <c r="D50" s="100" t="s">
        <v>204</v>
      </c>
      <c r="E50" s="34"/>
      <c r="F50" s="34"/>
      <c r="G50" s="34"/>
      <c r="H50" s="34"/>
      <c r="I50" s="34"/>
    </row>
    <row r="51" spans="2:9" x14ac:dyDescent="0.3">
      <c r="B51" s="103">
        <v>49</v>
      </c>
      <c r="C51" s="104" t="s">
        <v>227</v>
      </c>
      <c r="D51" s="102" t="s">
        <v>226</v>
      </c>
      <c r="E51" s="34"/>
      <c r="F51" s="34"/>
      <c r="G51" s="34"/>
      <c r="H51" s="34"/>
      <c r="I51" s="34"/>
    </row>
    <row r="52" spans="2:9" x14ac:dyDescent="0.3">
      <c r="B52" s="98">
        <v>50</v>
      </c>
      <c r="C52" s="108" t="s">
        <v>228</v>
      </c>
      <c r="D52" s="109" t="s">
        <v>228</v>
      </c>
      <c r="E52" s="34"/>
      <c r="F52" s="34"/>
      <c r="G52" s="34"/>
      <c r="H52" s="34"/>
      <c r="I52" s="34"/>
    </row>
    <row r="53" spans="2:9" x14ac:dyDescent="0.3">
      <c r="B53" s="98">
        <v>51</v>
      </c>
      <c r="C53" s="97" t="s">
        <v>231</v>
      </c>
      <c r="D53" s="102" t="s">
        <v>232</v>
      </c>
      <c r="E53" s="34"/>
      <c r="F53" s="34"/>
      <c r="G53" s="34"/>
      <c r="H53" s="34"/>
      <c r="I53" s="34"/>
    </row>
    <row r="54" spans="2:9" x14ac:dyDescent="0.3">
      <c r="B54" s="98">
        <v>52</v>
      </c>
      <c r="C54" s="97" t="s">
        <v>238</v>
      </c>
      <c r="D54" s="102" t="s">
        <v>237</v>
      </c>
      <c r="E54" s="34"/>
      <c r="F54" s="34"/>
      <c r="G54" s="34"/>
      <c r="H54" s="34"/>
      <c r="I54" s="34"/>
    </row>
    <row r="55" spans="2:9" x14ac:dyDescent="0.3">
      <c r="B55" s="98">
        <v>53</v>
      </c>
      <c r="C55" s="97" t="s">
        <v>248</v>
      </c>
      <c r="D55" s="102" t="s">
        <v>239</v>
      </c>
    </row>
    <row r="56" spans="2:9" x14ac:dyDescent="0.3">
      <c r="B56" s="98">
        <v>54</v>
      </c>
      <c r="C56" s="97" t="s">
        <v>240</v>
      </c>
      <c r="D56" s="102" t="s">
        <v>241</v>
      </c>
    </row>
    <row r="57" spans="2:9" x14ac:dyDescent="0.3">
      <c r="B57" s="98">
        <v>55</v>
      </c>
      <c r="C57" s="97" t="s">
        <v>243</v>
      </c>
      <c r="D57" s="102" t="s">
        <v>242</v>
      </c>
    </row>
    <row r="58" spans="2:9" ht="28.8" x14ac:dyDescent="0.3">
      <c r="B58" s="98">
        <v>56</v>
      </c>
      <c r="C58" s="97" t="s">
        <v>246</v>
      </c>
      <c r="D58" s="102" t="s">
        <v>247</v>
      </c>
    </row>
    <row r="59" spans="2:9" x14ac:dyDescent="0.3">
      <c r="B59" s="98">
        <v>57</v>
      </c>
      <c r="C59" s="104" t="s">
        <v>269</v>
      </c>
      <c r="D59" s="102" t="s">
        <v>257</v>
      </c>
    </row>
    <row r="60" spans="2:9" x14ac:dyDescent="0.3">
      <c r="B60" s="98">
        <v>58</v>
      </c>
      <c r="C60" s="97" t="e">
        <f>"En quelle année (aaaa) a eu lieu la dernière indexation du loyer après " &amp;DAY(Index061)&amp;"/"&amp;MONTH(Index061)&amp;"/"&amp;YEAR(Index061) &amp; " et avant "&amp;Index!Z18&amp;"/10/"&amp;Index!Y18&amp;"?"</f>
        <v>#VALUE!</v>
      </c>
      <c r="D60" s="102" t="e">
        <f>"In welk jaar (jjjj) werd de huurprijs voor het laatst geindexeerd na " &amp;DAY(Index061)&amp;"/"&amp;MONTH(Index061)&amp;"/"&amp;YEAR(Index061) &amp; " en voor "&amp;Index!Z18&amp;"/10/"&amp;Index!Y18&amp;"?"</f>
        <v>#VALUE!</v>
      </c>
    </row>
    <row r="61" spans="2:9" x14ac:dyDescent="0.3">
      <c r="B61" s="98">
        <v>59</v>
      </c>
      <c r="C61" s="97" t="s">
        <v>265</v>
      </c>
      <c r="D61" s="102" t="s">
        <v>266</v>
      </c>
    </row>
    <row r="62" spans="2:9" x14ac:dyDescent="0.3">
      <c r="B62" s="98">
        <v>60</v>
      </c>
      <c r="C62" s="97" t="s">
        <v>268</v>
      </c>
      <c r="D62" s="102" t="s">
        <v>267</v>
      </c>
    </row>
    <row r="63" spans="2:9" x14ac:dyDescent="0.3">
      <c r="B63" s="98">
        <v>61</v>
      </c>
      <c r="C63" s="97" t="s">
        <v>271</v>
      </c>
      <c r="D63" s="102" t="s">
        <v>270</v>
      </c>
    </row>
    <row r="168" ht="19.95" customHeight="1" x14ac:dyDescent="0.3"/>
    <row r="235" ht="21.6" customHeight="1" x14ac:dyDescent="0.3"/>
    <row r="258" spans="5:6" ht="14.7" customHeight="1" x14ac:dyDescent="0.3">
      <c r="E258" s="7"/>
      <c r="F258" s="7"/>
    </row>
  </sheetData>
  <sheetProtection algorithmName="SHA-512" hashValue="z1F7VSznUD36k1Nn/HlCvP9SRX4NG/hpTUqGV2b3qCMqdrue1VYYKLV4vAt7jz3G8+dc5psEmrr6POKMMw0p2g==" saltValue="D/UVgQNjbApo6DI5HEYwYA==" spinCount="100000" sheet="1" objects="1" scenarios="1" selectLockedCells="1" selectUnlockedCells="1"/>
  <phoneticPr fontId="5" type="noConversion"/>
  <hyperlinks>
    <hyperlink ref="C52" r:id="rId1" display="https://logement.brussels/louer/bail/indexation-des-loyers/" xr:uid="{C9F0C207-D429-426D-BB22-59A3169AD84D}"/>
    <hyperlink ref="D52" r:id="rId2" display="https://huisvesting.brussels/huren/woninghuurovereenkomst/huurprijsindexatie/" xr:uid="{2C59B538-17FC-47C0-A1D8-01A6E09EC36D}"/>
  </hyperlinks>
  <pageMargins left="0.25" right="0.25" top="0.75" bottom="0.75" header="0.3" footer="0.3"/>
  <pageSetup paperSize="8" fitToHeight="0" orientation="landscape" horizontalDpi="300" verticalDpi="300" r:id="rId3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7F809-B1DA-48C7-9253-FD3352887D58}">
  <sheetPr codeName="Sheet3">
    <pageSetUpPr fitToPage="1"/>
  </sheetPr>
  <dimension ref="A1:AG40"/>
  <sheetViews>
    <sheetView topLeftCell="A19" zoomScale="90" zoomScaleNormal="90" workbookViewId="0">
      <selection activeCell="J35" sqref="J35"/>
    </sheetView>
  </sheetViews>
  <sheetFormatPr defaultColWidth="0" defaultRowHeight="14.4" zeroHeight="1" x14ac:dyDescent="0.3"/>
  <cols>
    <col min="1" max="1" width="1.44140625" customWidth="1"/>
    <col min="2" max="2" width="11.109375" customWidth="1"/>
    <col min="3" max="14" width="8.6640625" customWidth="1"/>
    <col min="15" max="15" width="6.88671875" customWidth="1"/>
    <col min="16" max="16" width="5.6640625" customWidth="1"/>
    <col min="17" max="17" width="0.6640625" customWidth="1"/>
    <col min="18" max="18" width="13" customWidth="1"/>
    <col min="19" max="19" width="4.33203125" customWidth="1"/>
    <col min="20" max="20" width="0.88671875" customWidth="1"/>
    <col min="21" max="21" width="7.33203125" bestFit="1" customWidth="1"/>
    <col min="22" max="22" width="9" customWidth="1"/>
    <col min="23" max="23" width="8.6640625" customWidth="1"/>
    <col min="24" max="24" width="14.5546875" bestFit="1" customWidth="1"/>
    <col min="25" max="25" width="13.44140625" bestFit="1" customWidth="1"/>
    <col min="26" max="26" width="1.33203125" customWidth="1"/>
    <col min="27" max="27" width="20.6640625" bestFit="1" customWidth="1"/>
    <col min="28" max="31" width="12.33203125" bestFit="1" customWidth="1"/>
    <col min="32" max="32" width="13.44140625" bestFit="1" customWidth="1"/>
    <col min="33" max="33" width="1.109375" customWidth="1"/>
    <col min="34" max="16384" width="8.6640625" hidden="1"/>
  </cols>
  <sheetData>
    <row r="1" spans="2:32" ht="7.5" customHeight="1" x14ac:dyDescent="0.3"/>
    <row r="2" spans="2:32" x14ac:dyDescent="0.3">
      <c r="B2" s="34" t="s">
        <v>17</v>
      </c>
      <c r="C2" s="35" t="s">
        <v>18</v>
      </c>
      <c r="D2" s="35" t="s">
        <v>19</v>
      </c>
      <c r="E2" s="35" t="s">
        <v>20</v>
      </c>
      <c r="F2" s="35" t="s">
        <v>21</v>
      </c>
      <c r="G2" s="35" t="s">
        <v>22</v>
      </c>
      <c r="H2" s="35" t="s">
        <v>23</v>
      </c>
      <c r="I2" s="35" t="s">
        <v>24</v>
      </c>
      <c r="J2" s="35" t="s">
        <v>25</v>
      </c>
      <c r="K2" s="35" t="s">
        <v>26</v>
      </c>
      <c r="L2" s="35" t="s">
        <v>27</v>
      </c>
      <c r="M2" s="35" t="s">
        <v>28</v>
      </c>
      <c r="N2" s="35" t="s">
        <v>29</v>
      </c>
      <c r="O2" s="79" t="s">
        <v>33</v>
      </c>
      <c r="P2" s="79" t="s">
        <v>31</v>
      </c>
      <c r="Q2" s="35"/>
      <c r="R2" s="80">
        <f>1994+COUNT(TIndexcijfers[12])+N("1994 = eerste jaar waarvoor gegevens gekend zijn + het aantal lijnen met gegevens voor december = aantal jaren na 1994")</f>
        <v>2025</v>
      </c>
      <c r="S2" s="80">
        <f>IF(MAX(TIndexcijfers[M])&lt;12,MAX(TIndexcijfers[M])+1,1)+N("Maand die volgt op de laatste maand waarvoor de index gekend is")</f>
        <v>2</v>
      </c>
      <c r="T2" s="34"/>
      <c r="U2" s="79" t="s">
        <v>31</v>
      </c>
      <c r="V2" s="79" t="s">
        <v>229</v>
      </c>
      <c r="W2" s="79" t="s">
        <v>230</v>
      </c>
      <c r="X2" s="35" t="s">
        <v>10</v>
      </c>
      <c r="Y2" s="35" t="s">
        <v>30</v>
      </c>
      <c r="Z2" s="34"/>
      <c r="AA2" s="34"/>
      <c r="AB2" s="81">
        <f ca="1">IF(EDATE(RecenteIndex,-48)&gt;=Startdatum,EDATE(RecenteIndex,-48),"")</f>
        <v>44196</v>
      </c>
      <c r="AC2" s="81">
        <f ca="1">IF(EDATE(RecenteIndex,-36)&gt;=Startdatum,EDATE(RecenteIndex,-36),"")</f>
        <v>44561</v>
      </c>
      <c r="AD2" s="81">
        <f ca="1">IF(EDATE(RecenteIndex,-24)&gt;=Startdatum,EDATE(RecenteIndex,-24),"")</f>
        <v>44926</v>
      </c>
      <c r="AE2" s="81">
        <f ca="1">IF(EDATE(RecenteIndex,-12)&gt;=Startdatum,EDATE(RecenteIndex,-12),"")</f>
        <v>45291</v>
      </c>
      <c r="AF2" s="81">
        <f ca="1">RecenteIndex</f>
        <v>45657</v>
      </c>
    </row>
    <row r="3" spans="2:32" x14ac:dyDescent="0.3">
      <c r="B3" s="82">
        <v>1994</v>
      </c>
      <c r="C3" s="34">
        <v>69.806340000000006</v>
      </c>
      <c r="D3" s="34">
        <v>70.017600000000002</v>
      </c>
      <c r="E3" s="34">
        <v>69.969312000000002</v>
      </c>
      <c r="F3" s="34">
        <v>70.077960000000004</v>
      </c>
      <c r="G3" s="34">
        <v>70.283184000000006</v>
      </c>
      <c r="H3" s="34">
        <v>70.409940000000006</v>
      </c>
      <c r="I3" s="34">
        <v>70.89282</v>
      </c>
      <c r="J3" s="34">
        <v>70.971288000000001</v>
      </c>
      <c r="K3" s="34">
        <v>70.880748000000011</v>
      </c>
      <c r="L3" s="34">
        <v>70.766064</v>
      </c>
      <c r="M3" s="34">
        <v>70.772100000000009</v>
      </c>
      <c r="N3" s="34">
        <v>70.796244000000002</v>
      </c>
      <c r="O3" s="83">
        <f>IF(OR(COUNT(TIndexcijfers[[#This Row],[1]:[12]])=12,COUNT(TIndexcijfers[[#This Row],[1]:[12]])=0),0,TIndexcijfers[[#This Row],[base 2013]])</f>
        <v>0</v>
      </c>
      <c r="P3" s="84">
        <f>IF(COUNT(TIndexcijfers[[#This Row],[1]:[12]])=12,0,COUNT(TIndexcijfers[[#This Row],[1]:[12]]))</f>
        <v>0</v>
      </c>
      <c r="Q3" s="34"/>
      <c r="R3" s="85">
        <f>EOMONTH(DATE(R2,S2,1),0)</f>
        <v>45716</v>
      </c>
      <c r="S3" s="86"/>
      <c r="T3" s="34"/>
      <c r="U3" s="35">
        <v>1</v>
      </c>
      <c r="V3" s="35">
        <f>Index202112</f>
        <v>115.6</v>
      </c>
      <c r="W3" s="35">
        <f>Index202212</f>
        <v>127.89</v>
      </c>
      <c r="X3" s="131">
        <f>ROUND(0.5*((Index202112+Index202212)/Index202212),9)</f>
        <v>0.95195089499999996</v>
      </c>
      <c r="Y3" s="131">
        <f>ROUND(Index202112/Index202212,9)</f>
        <v>0.90390179100000001</v>
      </c>
      <c r="Z3" s="34"/>
      <c r="AA3" s="87" t="s">
        <v>47</v>
      </c>
      <c r="AB3" s="88">
        <f ca="1">IF(AB2="","",Basishuurprijs)</f>
        <v>0</v>
      </c>
      <c r="AC3" s="88">
        <f ca="1">IF(AC2="","",Basishuurprijs)</f>
        <v>0</v>
      </c>
      <c r="AD3" s="88">
        <f ca="1">IF(AD2="","",Basishuurprijs)</f>
        <v>0</v>
      </c>
      <c r="AE3" s="88">
        <f ca="1">IF(AE2="","",Basishuurprijs)</f>
        <v>0</v>
      </c>
      <c r="AF3" s="88">
        <f>Basishuurprijs</f>
        <v>0</v>
      </c>
    </row>
    <row r="4" spans="2:32" x14ac:dyDescent="0.3">
      <c r="B4" s="82">
        <v>1995</v>
      </c>
      <c r="C4" s="34">
        <v>71.12</v>
      </c>
      <c r="D4" s="34">
        <v>71.36</v>
      </c>
      <c r="E4" s="34">
        <v>71.290000000000006</v>
      </c>
      <c r="F4" s="34">
        <v>71.36</v>
      </c>
      <c r="G4" s="34">
        <v>71.319999999999993</v>
      </c>
      <c r="H4" s="34">
        <v>71.36</v>
      </c>
      <c r="I4" s="34">
        <v>71.849999999999994</v>
      </c>
      <c r="J4" s="34">
        <v>72.06</v>
      </c>
      <c r="K4" s="34">
        <v>71.81</v>
      </c>
      <c r="L4" s="34">
        <v>71.7</v>
      </c>
      <c r="M4" s="34">
        <v>71.81</v>
      </c>
      <c r="N4" s="34">
        <v>71.790000000000006</v>
      </c>
      <c r="O4" s="83">
        <f>IF(OR(COUNT(TIndexcijfers[[#This Row],[1]:[12]])=12,COUNT(TIndexcijfers[[#This Row],[1]:[12]])=0),0,TIndexcijfers[[#This Row],[base 2013]])</f>
        <v>0</v>
      </c>
      <c r="P4" s="83">
        <f>IF(COUNT(TIndexcijfers[[#This Row],[1]:[12]])=12,0,COUNT(TIndexcijfers[[#This Row],[1]:[12]]))</f>
        <v>0</v>
      </c>
      <c r="Q4" s="34"/>
      <c r="R4" s="34"/>
      <c r="S4" s="34"/>
      <c r="T4" s="34"/>
      <c r="U4" s="35">
        <v>2</v>
      </c>
      <c r="V4" s="35">
        <f>Index202201</f>
        <v>118.21</v>
      </c>
      <c r="W4" s="132">
        <f>Index202301</f>
        <v>128</v>
      </c>
      <c r="X4" s="131">
        <f>ROUND(0.5*((Index202201+Index202301)/Index202301),9)</f>
        <v>0.96175781299999996</v>
      </c>
      <c r="Y4" s="131">
        <f>ROUND(Index202201/Index202301,9)</f>
        <v>0.92351562499999995</v>
      </c>
      <c r="Z4" s="34"/>
      <c r="AA4" s="89" t="s">
        <v>44</v>
      </c>
      <c r="AB4" s="90" t="str">
        <f ca="1">IF(AB2&lt;&gt;"",Basisindex,"")</f>
        <v/>
      </c>
      <c r="AC4" s="90" t="str">
        <f ca="1">IF(AC2&lt;&gt;"",Basisindex,"")</f>
        <v/>
      </c>
      <c r="AD4" s="90" t="str">
        <f ca="1">IF(AD2&lt;&gt;"",Basisindex,"")</f>
        <v/>
      </c>
      <c r="AE4" s="90" t="str">
        <f ca="1">IF(AE2&lt;&gt;"",Basisindex,"")</f>
        <v/>
      </c>
      <c r="AF4" s="90" t="str">
        <f>Basisindex</f>
        <v/>
      </c>
    </row>
    <row r="5" spans="2:32" x14ac:dyDescent="0.3">
      <c r="B5" s="82">
        <v>1996</v>
      </c>
      <c r="C5" s="34">
        <v>72.347496000000007</v>
      </c>
      <c r="D5" s="34">
        <v>72.48632400000001</v>
      </c>
      <c r="E5" s="34">
        <v>72.510468000000003</v>
      </c>
      <c r="F5" s="34">
        <v>72.522540000000006</v>
      </c>
      <c r="G5" s="34">
        <v>72.371640000000014</v>
      </c>
      <c r="H5" s="34">
        <v>72.432000000000002</v>
      </c>
      <c r="I5" s="34">
        <v>72.939024000000003</v>
      </c>
      <c r="J5" s="34">
        <v>73.13821200000001</v>
      </c>
      <c r="K5" s="34">
        <v>72.920916000000005</v>
      </c>
      <c r="L5" s="34">
        <v>73.035600000000002</v>
      </c>
      <c r="M5" s="34">
        <v>73.108032000000009</v>
      </c>
      <c r="N5" s="34">
        <v>73.210644000000002</v>
      </c>
      <c r="O5" s="83">
        <f>IF(OR(COUNT(TIndexcijfers[[#This Row],[1]:[12]])=12,COUNT(TIndexcijfers[[#This Row],[1]:[12]])=0),0,TIndexcijfers[[#This Row],[base 2013]])</f>
        <v>0</v>
      </c>
      <c r="P5" s="83">
        <f>IF(COUNT(TIndexcijfers[[#This Row],[1]:[12]])=12,0,COUNT(TIndexcijfers[[#This Row],[1]:[12]]))</f>
        <v>0</v>
      </c>
      <c r="Q5" s="34"/>
      <c r="R5" s="34"/>
      <c r="S5" s="34"/>
      <c r="T5" s="34"/>
      <c r="U5" s="35">
        <v>3</v>
      </c>
      <c r="V5" s="35">
        <f>Index202202</f>
        <v>118.74</v>
      </c>
      <c r="W5" s="35">
        <f>Index202302</f>
        <v>126.86</v>
      </c>
      <c r="X5" s="83">
        <f>ROUND(0.5*((Index202202+Index202302)/Index202302),9)</f>
        <v>0.96799621599999996</v>
      </c>
      <c r="Y5" s="131">
        <f>ROUND(Index202202/Index202302,9)</f>
        <v>0.93599243300000001</v>
      </c>
      <c r="Z5" s="34"/>
      <c r="AA5" s="89" t="s">
        <v>45</v>
      </c>
      <c r="AB5" s="89" t="str">
        <f ca="1">IF(AB4="","",IF(OR(NietGeregistreerd=1,MondelingeOvereenkomst=1,GeenIndexatie=0),Basisindex,IF(AB2&lt;StartIndexstop,VLOOKUP(YEAR(AB2),indices!B3:N39,1+Index013),IF(AB2&lt;StartCorrectie,VLOOKUP(YEAR(AB2)-1,indices!B3:N39,1+Index013),VLOOKUP(YEAR(AB2),indices!B3:N39,1+Index013)))))</f>
        <v/>
      </c>
      <c r="AC5" s="89" t="str">
        <f ca="1">IF(AC4="","",IF(OR(NietGeregistreerd=1,MondelingeOvereenkomst=1,GeenIndexatie=0),Basisindex,IF(AC2&lt;StartIndexstop,VLOOKUP(YEAR(AC2),indices!B3:N39,1+Index013,IF(AC2&lt;StartCorrectie,VLOOKUP(YEAR(AC2)-1,indices!B3:N39,1+Index013),VLOOKUP(YEAR(AC2),indices!B3:N39,1+Index013))))))</f>
        <v/>
      </c>
      <c r="AD5" s="89" t="str">
        <f ca="1">IF(AD4="","",IF(OR(NietGeregistreerd=1,MondelingeOvereenkomst=1,GeenIndexatie=0),Basisindex,IF(AD2&lt;StartIndexstop,VLOOKUP(YEAR(AD2),indices!B3:N39,1+Index013,IF(AD2&lt;StartCorrectie,VLOOKUP(YEAR(AD2)-1,indices!B3:N39,1+Index013),VLOOKUP(YEAR(AD2),indices!B3:N39,1+Index013))))))</f>
        <v/>
      </c>
      <c r="AE5" s="89" t="str">
        <f ca="1">IF(AE4="","",IF(OR(NietGeregistreerd=1,MondelingeOvereenkomst=1,GeenIndexatie=0),Basisindex,IF(AE2&lt;StartIndexstop,VLOOKUP(YEAR(AE2),indices!B3:N39,1+Index013),IF(AE2&lt;StartCorrectie,VLOOKUP(YEAR(AE2)-1,indices!B3:N39,1+Index013),VLOOKUP(YEAR(AE2),indices!B3:N39,1+Index013)))))</f>
        <v/>
      </c>
      <c r="AF5" s="89" t="str">
        <f>IF(OR(NietGeregistreerd=1,MondelingeOvereenkomst=1,GeenIndexatie=0),Basisindex,IF(AF4="","",IF(AF2&lt;StartIndexstop,VLOOKUP(YEAR(AF2),indices!B3:N39,1+Index013),IF(AF2&lt;StartCorrectie,VLOOKUP(YEAR(AF2)-1,indices!B3:N39,1+Index013),VLOOKUP(YEAR(AF2),indices!B3:N39,1+Index013)))))</f>
        <v/>
      </c>
    </row>
    <row r="6" spans="2:32" x14ac:dyDescent="0.3">
      <c r="B6" s="82">
        <v>1997</v>
      </c>
      <c r="C6" s="34">
        <v>73.693524000000011</v>
      </c>
      <c r="D6" s="34">
        <v>73.566767999999996</v>
      </c>
      <c r="E6" s="34">
        <v>73.222716000000005</v>
      </c>
      <c r="F6" s="34">
        <v>73.234788000000009</v>
      </c>
      <c r="G6" s="34">
        <v>73.307220000000001</v>
      </c>
      <c r="H6" s="34">
        <v>73.44001200000001</v>
      </c>
      <c r="I6" s="34">
        <v>74.110008000000008</v>
      </c>
      <c r="J6" s="34">
        <v>74.146224000000004</v>
      </c>
      <c r="K6" s="34">
        <v>73.844424000000004</v>
      </c>
      <c r="L6" s="34">
        <v>73.862532000000002</v>
      </c>
      <c r="M6" s="34">
        <v>74.073791999999997</v>
      </c>
      <c r="N6" s="34">
        <v>74.049648000000005</v>
      </c>
      <c r="O6" s="83">
        <f>IF(OR(COUNT(TIndexcijfers[[#This Row],[1]:[12]])=12,COUNT(TIndexcijfers[[#This Row],[1]:[12]])=0),0,TIndexcijfers[[#This Row],[base 2013]])</f>
        <v>0</v>
      </c>
      <c r="P6" s="83">
        <f>IF(COUNT(TIndexcijfers[[#This Row],[1]:[12]])=12,0,COUNT(TIndexcijfers[[#This Row],[1]:[12]]))</f>
        <v>0</v>
      </c>
      <c r="Q6" s="34"/>
      <c r="R6" s="34"/>
      <c r="S6" s="34"/>
      <c r="T6" s="34"/>
      <c r="U6" s="35">
        <v>4</v>
      </c>
      <c r="V6" s="35">
        <f>Index202203</f>
        <v>119.05</v>
      </c>
      <c r="W6" s="132">
        <f>Index202303</f>
        <v>127.8</v>
      </c>
      <c r="X6" s="83">
        <f>ROUND(0.5*((Index202203+Index202303)/Index202303),9)</f>
        <v>0.96576682300000005</v>
      </c>
      <c r="Y6" s="131">
        <f>ROUND(Index202203/Index202303,9)</f>
        <v>0.93153364599999999</v>
      </c>
      <c r="Z6" s="34"/>
      <c r="AA6" s="91" t="s">
        <v>46</v>
      </c>
      <c r="AB6" s="91">
        <f ca="1">IF(AB2&lt;&gt;"",IF(AB2&lt;StartCorrectie,1,Index!G22),"")</f>
        <v>1</v>
      </c>
      <c r="AC6" s="91">
        <f ca="1">IF(AC2&lt;&gt;"",IF(AC2&lt;StartCorrectie,1,Index!G22),"")</f>
        <v>1</v>
      </c>
      <c r="AD6" s="91">
        <f ca="1">IF(AD2&lt;&gt;"",IF(AD2&lt;StartCorrectie,1,Index!G22),"")</f>
        <v>1</v>
      </c>
      <c r="AE6" s="91">
        <f ca="1">IF(AE2&lt;&gt;"",IF(AE2&lt;StartCorrectie,1,Index!G22),"")</f>
        <v>1</v>
      </c>
      <c r="AF6" s="153">
        <f ca="1">IF(AF2&lt;StartCorrectie,1,Index!G22)</f>
        <v>1</v>
      </c>
    </row>
    <row r="7" spans="2:32" x14ac:dyDescent="0.3">
      <c r="B7" s="82">
        <v>1998</v>
      </c>
      <c r="C7" s="34">
        <v>74.11</v>
      </c>
      <c r="D7" s="34">
        <v>74.290000000000006</v>
      </c>
      <c r="E7" s="34">
        <v>74.2</v>
      </c>
      <c r="F7" s="34">
        <v>74.56</v>
      </c>
      <c r="G7" s="34">
        <v>74.959999999999994</v>
      </c>
      <c r="H7" s="34">
        <v>74.88</v>
      </c>
      <c r="I7" s="34">
        <v>75.069999999999993</v>
      </c>
      <c r="J7" s="34">
        <v>74.77</v>
      </c>
      <c r="K7" s="34">
        <v>74.75</v>
      </c>
      <c r="L7" s="34">
        <v>74.760000000000005</v>
      </c>
      <c r="M7" s="34">
        <v>74.75</v>
      </c>
      <c r="N7" s="34">
        <v>74.75</v>
      </c>
      <c r="O7" s="83">
        <f>IF(OR(COUNT(TIndexcijfers[[#This Row],[1]:[12]])=12,COUNT(TIndexcijfers[[#This Row],[1]:[12]])=0),0,TIndexcijfers[[#This Row],[base 2013]])</f>
        <v>0</v>
      </c>
      <c r="P7" s="83">
        <f>IF(COUNT(TIndexcijfers[[#This Row],[1]:[12]])=12,0,COUNT(TIndexcijfers[[#This Row],[1]:[12]]))</f>
        <v>0</v>
      </c>
      <c r="Q7" s="34"/>
      <c r="R7" s="34"/>
      <c r="S7" s="34"/>
      <c r="T7" s="34"/>
      <c r="U7" s="35">
        <v>5</v>
      </c>
      <c r="V7" s="35">
        <f>Index202204</f>
        <v>119.59</v>
      </c>
      <c r="W7" s="132">
        <f>Index202304</f>
        <v>126.7</v>
      </c>
      <c r="X7" s="83">
        <f>ROUND(0.5*((Index202204+Index202304)/Index202304),9)</f>
        <v>0.97194159400000002</v>
      </c>
      <c r="Y7" s="131">
        <f>ROUND(Index202204/Index202304,9)</f>
        <v>0.94388318900000001</v>
      </c>
      <c r="Z7" s="34"/>
      <c r="AA7" s="92" t="s">
        <v>48</v>
      </c>
      <c r="AB7" s="93" t="e">
        <f ca="1">IF(AB2&lt;&gt;"",((AB3*AB5)/AB4)*AB6,"")</f>
        <v>#VALUE!</v>
      </c>
      <c r="AC7" s="93" t="e">
        <f ca="1">IF(AC2&lt;&gt;"",((AC3*AC5)/AC4)*AC6,"")</f>
        <v>#VALUE!</v>
      </c>
      <c r="AD7" s="93" t="e">
        <f ca="1">IF(AD2&lt;&gt;"",((AD3*AD5)/AD4)*AD6,"")</f>
        <v>#VALUE!</v>
      </c>
      <c r="AE7" s="93" t="e">
        <f ca="1">IF(AE2&lt;&gt;"",((AE3*AE5)/AE4)*AE6,"")</f>
        <v>#VALUE!</v>
      </c>
      <c r="AF7" s="93" t="e">
        <f ca="1">IF(AF2&lt;&gt;"",((AF3*AF5)/AF4)*AF6,"")</f>
        <v>#VALUE!</v>
      </c>
    </row>
    <row r="8" spans="2:32" x14ac:dyDescent="0.3">
      <c r="B8" s="82">
        <v>1999</v>
      </c>
      <c r="C8" s="34">
        <v>75.010000000000005</v>
      </c>
      <c r="D8" s="34">
        <v>75.19</v>
      </c>
      <c r="E8" s="34">
        <v>75.2</v>
      </c>
      <c r="F8" s="34">
        <v>75.38</v>
      </c>
      <c r="G8" s="34">
        <v>75.5</v>
      </c>
      <c r="H8" s="34">
        <v>75.37</v>
      </c>
      <c r="I8" s="34">
        <v>75.39</v>
      </c>
      <c r="J8" s="34">
        <v>75.2</v>
      </c>
      <c r="K8" s="34">
        <v>75.349999999999994</v>
      </c>
      <c r="L8" s="34">
        <v>75.44</v>
      </c>
      <c r="M8" s="34">
        <v>75.569999999999993</v>
      </c>
      <c r="N8" s="34">
        <v>75.709999999999994</v>
      </c>
      <c r="O8" s="83">
        <f>IF(OR(COUNT(TIndexcijfers[[#This Row],[1]:[12]])=12,COUNT(TIndexcijfers[[#This Row],[1]:[12]])=0),0,TIndexcijfers[[#This Row],[base 2013]])</f>
        <v>0</v>
      </c>
      <c r="P8" s="83">
        <f>IF(COUNT(TIndexcijfers[[#This Row],[1]:[12]])=12,0,COUNT(TIndexcijfers[[#This Row],[1]:[12]]))</f>
        <v>0</v>
      </c>
      <c r="Q8" s="34"/>
      <c r="R8" s="34"/>
      <c r="S8" s="34"/>
      <c r="T8" s="34"/>
      <c r="U8" s="35">
        <v>6</v>
      </c>
      <c r="V8" s="35">
        <f>Index202205</f>
        <v>120.25</v>
      </c>
      <c r="W8" s="35">
        <f>Index202305</f>
        <v>127.35</v>
      </c>
      <c r="X8" s="83">
        <f>ROUND(0.5*((Index202205+Index202305)/Index202305),9)</f>
        <v>0.97212406799999995</v>
      </c>
      <c r="Y8" s="131">
        <f>ROUND(Index202205/Index202305,9)</f>
        <v>0.94424813500000004</v>
      </c>
      <c r="Z8" s="34"/>
      <c r="AA8" s="34"/>
      <c r="AB8" s="34"/>
      <c r="AC8" s="34"/>
      <c r="AD8" s="34"/>
      <c r="AE8" s="34"/>
      <c r="AF8" s="34"/>
    </row>
    <row r="9" spans="2:32" x14ac:dyDescent="0.3">
      <c r="B9" s="82">
        <v>2000</v>
      </c>
      <c r="C9" s="34">
        <v>75.900000000000006</v>
      </c>
      <c r="D9" s="34">
        <v>76.099999999999994</v>
      </c>
      <c r="E9" s="34">
        <v>76.27</v>
      </c>
      <c r="F9" s="34">
        <v>76.48</v>
      </c>
      <c r="G9" s="34">
        <v>76.569999999999993</v>
      </c>
      <c r="H9" s="34">
        <v>76.73</v>
      </c>
      <c r="I9" s="34">
        <v>76.92</v>
      </c>
      <c r="J9" s="34">
        <v>76.959999999999994</v>
      </c>
      <c r="K9" s="34">
        <v>77.290000000000006</v>
      </c>
      <c r="L9" s="34">
        <v>77.180000000000007</v>
      </c>
      <c r="M9" s="34">
        <v>77.47</v>
      </c>
      <c r="N9" s="34">
        <v>77.44</v>
      </c>
      <c r="O9" s="83">
        <f>IF(OR(COUNT(TIndexcijfers[[#This Row],[1]:[12]])=12,COUNT(TIndexcijfers[[#This Row],[1]:[12]])=0),0,TIndexcijfers[[#This Row],[base 2013]])</f>
        <v>0</v>
      </c>
      <c r="P9" s="83">
        <f>IF(COUNT(TIndexcijfers[[#This Row],[1]:[12]])=12,0,COUNT(TIndexcijfers[[#This Row],[1]:[12]]))</f>
        <v>0</v>
      </c>
      <c r="Q9" s="34"/>
      <c r="R9" s="34"/>
      <c r="S9" s="34"/>
      <c r="T9" s="34"/>
      <c r="U9" s="35">
        <v>7</v>
      </c>
      <c r="V9" s="35">
        <f>Index202206</f>
        <v>121.02</v>
      </c>
      <c r="W9" s="35">
        <f>Index202306</f>
        <v>127.09</v>
      </c>
      <c r="X9" s="83">
        <f>ROUND(0.5*((Index202206+Index202306)/Index202306),9)</f>
        <v>0.97611928599999997</v>
      </c>
      <c r="Y9" s="131">
        <f>ROUND(Index202206/Index202306,9)</f>
        <v>0.95223857099999998</v>
      </c>
      <c r="Z9" s="34"/>
      <c r="AA9" s="34"/>
      <c r="AB9" s="34"/>
      <c r="AC9" s="34"/>
      <c r="AD9" s="34"/>
      <c r="AE9" s="34"/>
      <c r="AF9" s="34"/>
    </row>
    <row r="10" spans="2:32" x14ac:dyDescent="0.3">
      <c r="B10" s="82">
        <v>2001</v>
      </c>
      <c r="C10" s="34">
        <v>77.5</v>
      </c>
      <c r="D10" s="34">
        <v>77.75</v>
      </c>
      <c r="E10" s="34">
        <v>77.98</v>
      </c>
      <c r="F10" s="34">
        <v>78.56</v>
      </c>
      <c r="G10" s="34">
        <v>78.94</v>
      </c>
      <c r="H10" s="34">
        <v>79.19</v>
      </c>
      <c r="I10" s="34">
        <v>79.27</v>
      </c>
      <c r="J10" s="34">
        <v>79.319999999999993</v>
      </c>
      <c r="K10" s="34">
        <v>79.45</v>
      </c>
      <c r="L10" s="34">
        <v>79.489999999999995</v>
      </c>
      <c r="M10" s="34">
        <v>79.64</v>
      </c>
      <c r="N10" s="34">
        <v>79.5</v>
      </c>
      <c r="O10" s="83">
        <f>IF(OR(COUNT(TIndexcijfers[[#This Row],[1]:[12]])=12,COUNT(TIndexcijfers[[#This Row],[1]:[12]])=0),0,TIndexcijfers[[#This Row],[base 2013]])</f>
        <v>0</v>
      </c>
      <c r="P10" s="83">
        <f>IF(COUNT(TIndexcijfers[[#This Row],[1]:[12]])=12,0,COUNT(TIndexcijfers[[#This Row],[1]:[12]]))</f>
        <v>0</v>
      </c>
      <c r="Q10" s="34"/>
      <c r="R10" s="34"/>
      <c r="S10" s="34"/>
      <c r="T10" s="34"/>
      <c r="U10" s="35">
        <v>8</v>
      </c>
      <c r="V10" s="35">
        <f>Index202207</f>
        <v>122.35</v>
      </c>
      <c r="W10" s="35">
        <f>Index202307</f>
        <v>128.22</v>
      </c>
      <c r="X10" s="83">
        <f>ROUND(0.5*((Index202207+Index202307)/Index202307),9)</f>
        <v>0.97710965500000002</v>
      </c>
      <c r="Y10" s="131">
        <f>ROUND($I$31/Index202307,9)</f>
        <v>0.95421931100000001</v>
      </c>
      <c r="Z10" s="34"/>
      <c r="AA10" s="34"/>
      <c r="AB10" s="34"/>
      <c r="AC10" s="34"/>
      <c r="AD10" s="34"/>
      <c r="AE10" s="133">
        <f ca="1">EDATE(AF2,-12)</f>
        <v>45291</v>
      </c>
      <c r="AF10" s="34"/>
    </row>
    <row r="11" spans="2:32" x14ac:dyDescent="0.3">
      <c r="B11" s="82">
        <v>2002</v>
      </c>
      <c r="C11" s="34">
        <v>80.010000000000005</v>
      </c>
      <c r="D11" s="34">
        <v>80.12</v>
      </c>
      <c r="E11" s="34">
        <v>80.3</v>
      </c>
      <c r="F11" s="34">
        <v>80.14</v>
      </c>
      <c r="G11" s="34">
        <v>80.31</v>
      </c>
      <c r="H11" s="34">
        <v>80.12</v>
      </c>
      <c r="I11" s="34">
        <v>80.38</v>
      </c>
      <c r="J11" s="34">
        <v>80.34</v>
      </c>
      <c r="K11" s="34">
        <v>80.510000000000005</v>
      </c>
      <c r="L11" s="34">
        <v>80.37</v>
      </c>
      <c r="M11" s="34">
        <v>80.39</v>
      </c>
      <c r="N11" s="34">
        <v>80.459999999999994</v>
      </c>
      <c r="O11" s="83">
        <f>IF(OR(COUNT(TIndexcijfers[[#This Row],[1]:[12]])=12,COUNT(TIndexcijfers[[#This Row],[1]:[12]])=0),0,TIndexcijfers[[#This Row],[base 2013]])</f>
        <v>0</v>
      </c>
      <c r="P11" s="83">
        <f>IF(COUNT(TIndexcijfers[[#This Row],[1]:[12]])=12,0,COUNT(TIndexcijfers[[#This Row],[1]:[12]]))</f>
        <v>0</v>
      </c>
      <c r="Q11" s="34"/>
      <c r="R11" s="34"/>
      <c r="S11" s="34"/>
      <c r="T11" s="34"/>
      <c r="U11" s="35">
        <v>9</v>
      </c>
      <c r="V11" s="35">
        <f>Index202208</f>
        <v>123.68</v>
      </c>
      <c r="W11" s="35">
        <f>Index202308</f>
        <v>128.82</v>
      </c>
      <c r="X11" s="83">
        <f>ROUND(0.5*((Index202208+Index202308)/Index202308),9)</f>
        <v>0.98004968199999998</v>
      </c>
      <c r="Y11" s="131">
        <f>ROUND(Index202208/Index202308,9)</f>
        <v>0.96009936299999998</v>
      </c>
      <c r="Z11" s="34"/>
      <c r="AA11" s="34"/>
      <c r="AB11" s="34"/>
      <c r="AC11" s="34"/>
      <c r="AD11" s="34"/>
      <c r="AE11" s="34"/>
      <c r="AF11" s="34"/>
    </row>
    <row r="12" spans="2:32" x14ac:dyDescent="0.3">
      <c r="B12" s="82">
        <v>2003</v>
      </c>
      <c r="C12" s="34">
        <v>80.739999999999995</v>
      </c>
      <c r="D12" s="34">
        <v>81.19</v>
      </c>
      <c r="E12" s="34">
        <v>81.38</v>
      </c>
      <c r="F12" s="34">
        <v>81.319999999999993</v>
      </c>
      <c r="G12" s="34">
        <v>81.2</v>
      </c>
      <c r="H12" s="34">
        <v>81.400000000000006</v>
      </c>
      <c r="I12" s="34">
        <v>81.56</v>
      </c>
      <c r="J12" s="34">
        <v>81.66</v>
      </c>
      <c r="K12" s="34">
        <v>81.86</v>
      </c>
      <c r="L12" s="34">
        <v>81.62</v>
      </c>
      <c r="M12" s="34">
        <v>81.78</v>
      </c>
      <c r="N12" s="34">
        <v>81.75</v>
      </c>
      <c r="O12" s="83">
        <f>IF(OR(COUNT(TIndexcijfers[[#This Row],[1]:[12]])=12,COUNT(TIndexcijfers[[#This Row],[1]:[12]])=0),0,TIndexcijfers[[#This Row],[base 2013]])</f>
        <v>0</v>
      </c>
      <c r="P12" s="83">
        <f>IF(COUNT(TIndexcijfers[[#This Row],[1]:[12]])=12,0,COUNT(TIndexcijfers[[#This Row],[1]:[12]]))</f>
        <v>0</v>
      </c>
      <c r="Q12" s="34"/>
      <c r="R12" s="34"/>
      <c r="S12" s="34"/>
      <c r="T12" s="34"/>
      <c r="U12" s="35" t="str">
        <f>"10a"</f>
        <v>10a</v>
      </c>
      <c r="V12" s="35">
        <f>Index202209</f>
        <v>124.92</v>
      </c>
      <c r="W12" s="35">
        <f>Index202309</f>
        <v>127.52</v>
      </c>
      <c r="X12" s="83">
        <f>ROUND(0.5*((Index202209+Index202309)/Index202309),9)</f>
        <v>0.98980552099999997</v>
      </c>
      <c r="Y12" s="131">
        <f>ROUND(Index202209/Index202309,9)</f>
        <v>0.97961104099999996</v>
      </c>
      <c r="Z12" s="34"/>
      <c r="AA12" s="34"/>
      <c r="AB12" s="34"/>
      <c r="AC12" s="34"/>
      <c r="AD12" s="34"/>
      <c r="AE12" s="34"/>
      <c r="AF12" s="34"/>
    </row>
    <row r="13" spans="2:32" x14ac:dyDescent="0.3">
      <c r="B13" s="82">
        <v>2004</v>
      </c>
      <c r="C13" s="34">
        <v>82</v>
      </c>
      <c r="D13" s="34">
        <v>82.26</v>
      </c>
      <c r="E13" s="34">
        <v>82.28</v>
      </c>
      <c r="F13" s="34">
        <v>82.61</v>
      </c>
      <c r="G13" s="34">
        <v>82.73</v>
      </c>
      <c r="H13" s="34">
        <v>82.71</v>
      </c>
      <c r="I13" s="34">
        <v>82.97</v>
      </c>
      <c r="J13" s="34">
        <v>82.99</v>
      </c>
      <c r="K13" s="34">
        <v>83.03</v>
      </c>
      <c r="L13" s="34">
        <v>83.33</v>
      </c>
      <c r="M13" s="34">
        <v>83.32</v>
      </c>
      <c r="N13" s="34">
        <v>83.15</v>
      </c>
      <c r="O13" s="83">
        <f>IF(OR(COUNT(TIndexcijfers[[#This Row],[1]:[12]])=12,COUNT(TIndexcijfers[[#This Row],[1]:[12]])=0),0,TIndexcijfers[[#This Row],[base 2013]])</f>
        <v>0</v>
      </c>
      <c r="P13" s="83">
        <f>IF(COUNT(TIndexcijfers[[#This Row],[1]:[12]])=12,0,COUNT(TIndexcijfers[[#This Row],[1]:[12]]))</f>
        <v>0</v>
      </c>
      <c r="Q13" s="34"/>
      <c r="R13" s="34"/>
      <c r="S13" s="34"/>
      <c r="T13" s="34"/>
      <c r="U13" s="35" t="s">
        <v>32</v>
      </c>
      <c r="V13" s="35">
        <f>Index202109</f>
        <v>112.29</v>
      </c>
      <c r="W13" s="35">
        <f>Index202209</f>
        <v>124.92</v>
      </c>
      <c r="X13" s="83">
        <f>ROUND(0.5*((K$30+Index202209)/Index202209),9)</f>
        <v>0.94944764599999998</v>
      </c>
      <c r="Y13" s="131">
        <f>ROUND(Index202109/Index202209,9)</f>
        <v>0.89889529300000004</v>
      </c>
      <c r="Z13" s="34"/>
      <c r="AA13" s="34"/>
      <c r="AB13" s="34"/>
      <c r="AC13" s="34"/>
      <c r="AD13" s="34"/>
      <c r="AE13" s="34"/>
      <c r="AF13" s="34"/>
    </row>
    <row r="14" spans="2:32" x14ac:dyDescent="0.3">
      <c r="B14" s="82">
        <v>2005</v>
      </c>
      <c r="C14" s="34">
        <v>83.46</v>
      </c>
      <c r="D14" s="34">
        <v>83.9</v>
      </c>
      <c r="E14" s="34">
        <v>84.35</v>
      </c>
      <c r="F14" s="34">
        <v>84.33</v>
      </c>
      <c r="G14" s="34">
        <v>84.49</v>
      </c>
      <c r="H14" s="34">
        <v>84.64</v>
      </c>
      <c r="I14" s="34">
        <v>84.98</v>
      </c>
      <c r="J14" s="34">
        <v>84.99</v>
      </c>
      <c r="K14" s="34">
        <v>84.9</v>
      </c>
      <c r="L14" s="34">
        <v>84.76</v>
      </c>
      <c r="M14" s="34">
        <v>85.02</v>
      </c>
      <c r="N14" s="34">
        <v>85.09</v>
      </c>
      <c r="O14" s="83">
        <f>IF(OR(COUNT(TIndexcijfers[[#This Row],[1]:[12]])=12,COUNT(TIndexcijfers[[#This Row],[1]:[12]])=0),0,TIndexcijfers[[#This Row],[base 2013]])</f>
        <v>0</v>
      </c>
      <c r="P14" s="83">
        <f>IF(COUNT(TIndexcijfers[[#This Row],[1]:[12]])=12,0,COUNT(TIndexcijfers[[#This Row],[1]:[12]]))</f>
        <v>0</v>
      </c>
      <c r="Q14" s="34"/>
      <c r="R14" s="34"/>
      <c r="S14" s="34"/>
      <c r="T14" s="34"/>
      <c r="U14" s="35">
        <v>11</v>
      </c>
      <c r="V14" s="35">
        <f>Index202110</f>
        <v>113.94</v>
      </c>
      <c r="W14" s="35">
        <f>Index202210</f>
        <v>127.92</v>
      </c>
      <c r="X14" s="83">
        <f>ROUND(0.5*((Index202110+Index202210)/Index202210),9)</f>
        <v>0.94535647300000003</v>
      </c>
      <c r="Y14" s="131">
        <f>ROUND(Index202110/Index202210,9)</f>
        <v>0.89071294599999995</v>
      </c>
      <c r="Z14" s="34"/>
      <c r="AA14" s="34"/>
      <c r="AB14" s="34"/>
      <c r="AC14" s="34"/>
      <c r="AD14" s="34"/>
      <c r="AE14" s="34"/>
      <c r="AF14" s="34"/>
    </row>
    <row r="15" spans="2:32" x14ac:dyDescent="0.3">
      <c r="B15" s="82">
        <v>2006</v>
      </c>
      <c r="C15" s="34">
        <v>85.13</v>
      </c>
      <c r="D15" s="34">
        <v>85.54</v>
      </c>
      <c r="E15" s="34">
        <v>85.47</v>
      </c>
      <c r="F15" s="34">
        <v>85.78</v>
      </c>
      <c r="G15" s="34">
        <v>86.07</v>
      </c>
      <c r="H15" s="34">
        <v>86.05</v>
      </c>
      <c r="I15" s="34">
        <v>86.32</v>
      </c>
      <c r="J15" s="34">
        <v>86.43</v>
      </c>
      <c r="K15" s="34">
        <v>86.41</v>
      </c>
      <c r="L15" s="34">
        <v>86.38</v>
      </c>
      <c r="M15" s="34">
        <v>86.59</v>
      </c>
      <c r="N15" s="34">
        <v>86.68</v>
      </c>
      <c r="O15" s="83">
        <f>IF(OR(COUNT(TIndexcijfers[[#This Row],[1]:[12]])=12,COUNT(TIndexcijfers[[#This Row],[1]:[12]])=0),0,TIndexcijfers[[#This Row],[base 2013]])</f>
        <v>0</v>
      </c>
      <c r="P15" s="83">
        <f>IF(COUNT(TIndexcijfers[[#This Row],[1]:[12]])=12,0,COUNT(TIndexcijfers[[#This Row],[1]:[12]]))</f>
        <v>0</v>
      </c>
      <c r="Q15" s="34"/>
      <c r="R15" s="34"/>
      <c r="S15" s="34"/>
      <c r="T15" s="34"/>
      <c r="U15" s="35">
        <v>12</v>
      </c>
      <c r="V15" s="35">
        <f>Index202111</f>
        <v>115.2</v>
      </c>
      <c r="W15" s="35">
        <f>Index202211</f>
        <v>127.44</v>
      </c>
      <c r="X15" s="83">
        <f>ROUND(0.5*((Index202111+Index202211)/Index202211),9)</f>
        <v>0.95197740099999995</v>
      </c>
      <c r="Y15" s="131">
        <f>ROUND(Index202111/Index202211,9)</f>
        <v>0.903954802</v>
      </c>
      <c r="Z15" s="34"/>
      <c r="AA15" s="34"/>
      <c r="AB15" s="34"/>
      <c r="AC15" s="34"/>
      <c r="AD15" s="34"/>
      <c r="AE15" s="34"/>
      <c r="AF15" s="34"/>
    </row>
    <row r="16" spans="2:32" x14ac:dyDescent="0.3">
      <c r="B16" s="82">
        <v>2007</v>
      </c>
      <c r="C16" s="34">
        <v>86.87</v>
      </c>
      <c r="D16" s="34">
        <v>87.32</v>
      </c>
      <c r="E16" s="34">
        <v>87.13</v>
      </c>
      <c r="F16" s="34">
        <v>87.42</v>
      </c>
      <c r="G16" s="34">
        <v>87.22</v>
      </c>
      <c r="H16" s="34">
        <v>87.17</v>
      </c>
      <c r="I16" s="34">
        <v>87.52</v>
      </c>
      <c r="J16" s="34">
        <v>87.49</v>
      </c>
      <c r="K16" s="34">
        <v>87.53</v>
      </c>
      <c r="L16" s="34">
        <v>87.93</v>
      </c>
      <c r="M16" s="34">
        <v>88.54</v>
      </c>
      <c r="N16" s="34">
        <v>88.96</v>
      </c>
      <c r="O16" s="83">
        <f>IF(OR(COUNT(TIndexcijfers[[#This Row],[1]:[12]])=12,COUNT(TIndexcijfers[[#This Row],[1]:[12]])=0),0,TIndexcijfers[[#This Row],[base 2013]])</f>
        <v>0</v>
      </c>
      <c r="P16" s="83">
        <f>IF(COUNT(TIndexcijfers[[#This Row],[1]:[12]])=12,0,COUNT(TIndexcijfers[[#This Row],[1]:[12]]))</f>
        <v>0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</row>
    <row r="17" spans="2:32" x14ac:dyDescent="0.3">
      <c r="B17" s="82">
        <v>2008</v>
      </c>
      <c r="C17" s="34">
        <v>89.3</v>
      </c>
      <c r="D17" s="34">
        <v>90.01</v>
      </c>
      <c r="E17" s="34">
        <v>90.52</v>
      </c>
      <c r="F17" s="34">
        <v>90.66</v>
      </c>
      <c r="G17" s="34">
        <v>91.25</v>
      </c>
      <c r="H17" s="34">
        <v>91.59</v>
      </c>
      <c r="I17" s="34">
        <v>92.09</v>
      </c>
      <c r="J17" s="34">
        <v>91.81</v>
      </c>
      <c r="K17" s="34">
        <v>92.03</v>
      </c>
      <c r="L17" s="34">
        <v>92.15</v>
      </c>
      <c r="M17" s="34">
        <v>91.98</v>
      </c>
      <c r="N17" s="34">
        <v>92.11</v>
      </c>
      <c r="O17" s="83">
        <f>IF(OR(COUNT(TIndexcijfers[[#This Row],[1]:[12]])=12,COUNT(TIndexcijfers[[#This Row],[1]:[12]])=0),0,TIndexcijfers[[#This Row],[base 2013]])</f>
        <v>0</v>
      </c>
      <c r="P17" s="83">
        <f>IF(COUNT(TIndexcijfers[[#This Row],[1]:[12]])=12,0,COUNT(TIndexcijfers[[#This Row],[1]:[12]]))</f>
        <v>0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</row>
    <row r="18" spans="2:32" x14ac:dyDescent="0.3">
      <c r="B18" s="82">
        <v>2009</v>
      </c>
      <c r="C18" s="34">
        <v>92.28</v>
      </c>
      <c r="D18" s="34">
        <v>92.53</v>
      </c>
      <c r="E18" s="34">
        <v>91.97</v>
      </c>
      <c r="F18" s="34">
        <v>92.05</v>
      </c>
      <c r="G18" s="34">
        <v>91.87</v>
      </c>
      <c r="H18" s="34">
        <v>91.49</v>
      </c>
      <c r="I18" s="34">
        <v>91.48</v>
      </c>
      <c r="J18" s="34">
        <v>91.63</v>
      </c>
      <c r="K18" s="34">
        <v>91.46</v>
      </c>
      <c r="L18" s="34">
        <v>91.61</v>
      </c>
      <c r="M18" s="34">
        <v>91.7</v>
      </c>
      <c r="N18" s="34">
        <v>91.87</v>
      </c>
      <c r="O18" s="83">
        <f>IF(OR(COUNT(TIndexcijfers[[#This Row],[1]:[12]])=12,COUNT(TIndexcijfers[[#This Row],[1]:[12]])=0),0,TIndexcijfers[[#This Row],[base 2013]])</f>
        <v>0</v>
      </c>
      <c r="P18" s="83">
        <f>IF(COUNT(TIndexcijfers[[#This Row],[1]:[12]])=12,0,COUNT(TIndexcijfers[[#This Row],[1]:[12]]))</f>
        <v>0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</row>
    <row r="19" spans="2:32" x14ac:dyDescent="0.3">
      <c r="B19" s="82">
        <v>2010</v>
      </c>
      <c r="C19" s="34">
        <v>92.21</v>
      </c>
      <c r="D19" s="34">
        <v>92.65</v>
      </c>
      <c r="E19" s="34">
        <v>92.83</v>
      </c>
      <c r="F19" s="34">
        <v>93.02</v>
      </c>
      <c r="G19" s="34">
        <v>93.33</v>
      </c>
      <c r="H19" s="34">
        <v>93.35</v>
      </c>
      <c r="I19" s="34">
        <v>93.45</v>
      </c>
      <c r="J19" s="34">
        <v>93.51</v>
      </c>
      <c r="K19" s="34">
        <v>93.8</v>
      </c>
      <c r="L19" s="34">
        <v>93.94</v>
      </c>
      <c r="M19" s="34">
        <v>94.02</v>
      </c>
      <c r="N19" s="34">
        <v>94.26</v>
      </c>
      <c r="O19" s="83">
        <f>IF(OR(COUNT(TIndexcijfers[[#This Row],[1]:[12]])=12,COUNT(TIndexcijfers[[#This Row],[1]:[12]])=0),0,TIndexcijfers[[#This Row],[base 2013]])</f>
        <v>0</v>
      </c>
      <c r="P19" s="83">
        <f>IF(COUNT(TIndexcijfers[[#This Row],[1]:[12]])=12,0,COUNT(TIndexcijfers[[#This Row],[1]:[12]]))</f>
        <v>0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</row>
    <row r="20" spans="2:32" x14ac:dyDescent="0.3">
      <c r="B20" s="82">
        <v>2011</v>
      </c>
      <c r="C20" s="34">
        <v>94.71</v>
      </c>
      <c r="D20" s="34">
        <v>95.26</v>
      </c>
      <c r="E20" s="34">
        <v>95.54</v>
      </c>
      <c r="F20" s="34">
        <v>95.69</v>
      </c>
      <c r="G20" s="34">
        <v>96.03</v>
      </c>
      <c r="H20" s="34">
        <v>96.4</v>
      </c>
      <c r="I20" s="34">
        <v>96.55</v>
      </c>
      <c r="J20" s="34">
        <v>96.45</v>
      </c>
      <c r="K20" s="34">
        <v>96.65</v>
      </c>
      <c r="L20" s="34">
        <v>96.84</v>
      </c>
      <c r="M20" s="34">
        <v>97.21</v>
      </c>
      <c r="N20" s="34">
        <v>97.31</v>
      </c>
      <c r="O20" s="83">
        <f>IF(OR(COUNT(TIndexcijfers[[#This Row],[1]:[12]])=12,COUNT(TIndexcijfers[[#This Row],[1]:[12]])=0),0,TIndexcijfers[[#This Row],[base 2013]])</f>
        <v>0</v>
      </c>
      <c r="P20" s="83">
        <f>IF(COUNT(TIndexcijfers[[#This Row],[1]:[12]])=12,0,COUNT(TIndexcijfers[[#This Row],[1]:[12]]))</f>
        <v>0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</row>
    <row r="21" spans="2:32" x14ac:dyDescent="0.3">
      <c r="B21" s="82">
        <v>2012</v>
      </c>
      <c r="C21" s="34">
        <v>97.91</v>
      </c>
      <c r="D21" s="34">
        <v>98.51</v>
      </c>
      <c r="E21" s="34">
        <v>98.54</v>
      </c>
      <c r="F21" s="34">
        <v>98.52</v>
      </c>
      <c r="G21" s="34">
        <v>98.66</v>
      </c>
      <c r="H21" s="34">
        <v>98.53</v>
      </c>
      <c r="I21" s="34">
        <v>98.71</v>
      </c>
      <c r="J21" s="34">
        <v>98.92</v>
      </c>
      <c r="K21" s="34">
        <v>98.96</v>
      </c>
      <c r="L21" s="34">
        <v>99.25</v>
      </c>
      <c r="M21" s="34">
        <v>99.32</v>
      </c>
      <c r="N21" s="34">
        <v>99.41</v>
      </c>
      <c r="O21" s="83">
        <f>IF(OR(COUNT(TIndexcijfers[[#This Row],[1]:[12]])=12,COUNT(TIndexcijfers[[#This Row],[1]:[12]])=0),0,TIndexcijfers[[#This Row],[base 2013]])</f>
        <v>0</v>
      </c>
      <c r="P21" s="83">
        <f>IF(COUNT(TIndexcijfers[[#This Row],[1]:[12]])=12,0,COUNT(TIndexcijfers[[#This Row],[1]:[12]]))</f>
        <v>0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</row>
    <row r="22" spans="2:32" x14ac:dyDescent="0.3">
      <c r="B22" s="82">
        <v>2013</v>
      </c>
      <c r="C22" s="34">
        <v>99.36</v>
      </c>
      <c r="D22" s="34">
        <v>99.58</v>
      </c>
      <c r="E22" s="34">
        <v>99.77</v>
      </c>
      <c r="F22" s="34">
        <v>99.77</v>
      </c>
      <c r="G22" s="34">
        <v>100.03</v>
      </c>
      <c r="H22" s="34">
        <v>100.2</v>
      </c>
      <c r="I22" s="34">
        <v>100.24</v>
      </c>
      <c r="J22" s="34">
        <v>100.1</v>
      </c>
      <c r="K22" s="34">
        <v>100.03</v>
      </c>
      <c r="L22" s="34">
        <v>100.18</v>
      </c>
      <c r="M22" s="34">
        <v>100.29</v>
      </c>
      <c r="N22" s="34">
        <v>100.41</v>
      </c>
      <c r="O22" s="83">
        <f>IF(OR(COUNT(TIndexcijfers[[#This Row],[1]:[12]])=12,COUNT(TIndexcijfers[[#This Row],[1]:[12]])=0),0,TIndexcijfers[[#This Row],[base 2013]])</f>
        <v>0</v>
      </c>
      <c r="P22" s="83">
        <f>IF(COUNT(TIndexcijfers[[#This Row],[1]:[12]])=12,0,COUNT(TIndexcijfers[[#This Row],[1]:[12]]))</f>
        <v>0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2:32" x14ac:dyDescent="0.3">
      <c r="B23" s="82">
        <v>2014</v>
      </c>
      <c r="C23" s="34">
        <v>100.6</v>
      </c>
      <c r="D23" s="34">
        <v>100.75</v>
      </c>
      <c r="E23" s="34">
        <v>100.79</v>
      </c>
      <c r="F23" s="34">
        <v>100.44</v>
      </c>
      <c r="G23" s="34">
        <v>100.29</v>
      </c>
      <c r="H23" s="34">
        <v>100.34</v>
      </c>
      <c r="I23" s="34">
        <v>100.46</v>
      </c>
      <c r="J23" s="34">
        <v>100.12</v>
      </c>
      <c r="K23" s="34">
        <v>100.06</v>
      </c>
      <c r="L23" s="34">
        <v>100.28</v>
      </c>
      <c r="M23" s="34">
        <v>100.28</v>
      </c>
      <c r="N23" s="34">
        <v>100.4</v>
      </c>
      <c r="O23" s="83">
        <f>IF(OR(COUNT(TIndexcijfers[[#This Row],[1]:[12]])=12,COUNT(TIndexcijfers[[#This Row],[1]:[12]])=0),0,TIndexcijfers[[#This Row],[base 2013]])</f>
        <v>0</v>
      </c>
      <c r="P23" s="83">
        <f>IF(COUNT(TIndexcijfers[[#This Row],[1]:[12]])=12,0,COUNT(TIndexcijfers[[#This Row],[1]:[12]]))</f>
        <v>0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2:32" x14ac:dyDescent="0.3">
      <c r="B24" s="82">
        <v>2015</v>
      </c>
      <c r="C24" s="34">
        <v>100.61</v>
      </c>
      <c r="D24" s="34">
        <v>100.89</v>
      </c>
      <c r="E24" s="34">
        <v>100.73</v>
      </c>
      <c r="F24" s="34">
        <v>101.12</v>
      </c>
      <c r="G24" s="34">
        <v>101.16</v>
      </c>
      <c r="H24" s="34">
        <v>101.33</v>
      </c>
      <c r="I24" s="34">
        <v>101.37</v>
      </c>
      <c r="J24" s="34">
        <v>101.61</v>
      </c>
      <c r="K24" s="34">
        <v>101.85</v>
      </c>
      <c r="L24" s="34">
        <v>102.27</v>
      </c>
      <c r="M24" s="34">
        <v>102.28</v>
      </c>
      <c r="N24" s="34">
        <v>102.23</v>
      </c>
      <c r="O24" s="83">
        <f>IF(OR(COUNT(TIndexcijfers[[#This Row],[1]:[12]])=12,COUNT(TIndexcijfers[[#This Row],[1]:[12]])=0),0,TIndexcijfers[[#This Row],[base 2013]])</f>
        <v>0</v>
      </c>
      <c r="P24" s="83">
        <f>IF(COUNT(TIndexcijfers[[#This Row],[1]:[12]])=12,0,COUNT(TIndexcijfers[[#This Row],[1]:[12]]))</f>
        <v>0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2:32" x14ac:dyDescent="0.3">
      <c r="B25" s="82">
        <v>2016</v>
      </c>
      <c r="C25" s="34">
        <v>102.42</v>
      </c>
      <c r="D25" s="34">
        <v>102.53</v>
      </c>
      <c r="E25" s="34">
        <v>103.47</v>
      </c>
      <c r="F25" s="34">
        <v>103.53</v>
      </c>
      <c r="G25" s="34">
        <v>103.77</v>
      </c>
      <c r="H25" s="34">
        <v>103.74</v>
      </c>
      <c r="I25" s="34">
        <v>103.93</v>
      </c>
      <c r="J25" s="34">
        <v>103.97</v>
      </c>
      <c r="K25" s="34">
        <v>103.68</v>
      </c>
      <c r="L25" s="34">
        <v>103.86</v>
      </c>
      <c r="M25" s="34">
        <v>103.97</v>
      </c>
      <c r="N25" s="34">
        <v>104.05</v>
      </c>
      <c r="O25" s="83">
        <f>IF(OR(COUNT(TIndexcijfers[[#This Row],[1]:[12]])=12,COUNT(TIndexcijfers[[#This Row],[1]:[12]])=0),0,TIndexcijfers[[#This Row],[base 2013]])</f>
        <v>0</v>
      </c>
      <c r="P25" s="83">
        <f>IF(COUNT(TIndexcijfers[[#This Row],[1]:[12]])=12,0,COUNT(TIndexcijfers[[#This Row],[1]:[12]]))</f>
        <v>0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 spans="2:32" x14ac:dyDescent="0.3">
      <c r="B26" s="82">
        <v>2017</v>
      </c>
      <c r="C26" s="34">
        <v>104.65</v>
      </c>
      <c r="D26" s="34">
        <v>105.06</v>
      </c>
      <c r="E26" s="34">
        <v>105.32</v>
      </c>
      <c r="F26" s="34">
        <v>105.46</v>
      </c>
      <c r="G26" s="34">
        <v>105.42</v>
      </c>
      <c r="H26" s="34">
        <v>105.29</v>
      </c>
      <c r="I26" s="34">
        <v>105.63</v>
      </c>
      <c r="J26" s="34">
        <v>105.68</v>
      </c>
      <c r="K26" s="34">
        <v>105.51</v>
      </c>
      <c r="L26" s="34">
        <v>105.84</v>
      </c>
      <c r="M26" s="34">
        <v>105.85</v>
      </c>
      <c r="N26" s="34">
        <v>106.15</v>
      </c>
      <c r="O26" s="83">
        <f>IF(OR(COUNT(TIndexcijfers[[#This Row],[1]:[12]])=12,COUNT(TIndexcijfers[[#This Row],[1]:[12]])=0),0,TIndexcijfers[[#This Row],[base 2013]])</f>
        <v>0</v>
      </c>
      <c r="P26" s="83">
        <f>IF(COUNT(TIndexcijfers[[#This Row],[1]:[12]])=12,0,COUNT(TIndexcijfers[[#This Row],[1]:[12]]))</f>
        <v>0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</row>
    <row r="27" spans="2:32" x14ac:dyDescent="0.3">
      <c r="B27" s="82">
        <v>2018</v>
      </c>
      <c r="C27" s="34">
        <v>106.37</v>
      </c>
      <c r="D27" s="34">
        <v>106.54</v>
      </c>
      <c r="E27" s="34">
        <v>106.71</v>
      </c>
      <c r="F27" s="34">
        <v>106.89</v>
      </c>
      <c r="G27" s="34">
        <v>106.99</v>
      </c>
      <c r="H27" s="34">
        <v>107.01</v>
      </c>
      <c r="I27" s="34">
        <v>107.44</v>
      </c>
      <c r="J27" s="34">
        <v>107.55</v>
      </c>
      <c r="K27" s="34">
        <v>107.52</v>
      </c>
      <c r="L27" s="34">
        <v>108.26</v>
      </c>
      <c r="M27" s="34">
        <v>108.48</v>
      </c>
      <c r="N27" s="34">
        <v>108.45</v>
      </c>
      <c r="O27" s="83">
        <f>IF(OR(COUNT(TIndexcijfers[[#This Row],[1]:[12]])=12,COUNT(TIndexcijfers[[#This Row],[1]:[12]])=0),0,TIndexcijfers[[#This Row],[base 2013]])</f>
        <v>0</v>
      </c>
      <c r="P27" s="83">
        <f>IF(COUNT(TIndexcijfers[[#This Row],[1]:[12]])=12,0,COUNT(TIndexcijfers[[#This Row],[1]:[12]]))</f>
        <v>0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2:32" x14ac:dyDescent="0.3">
      <c r="B28" s="82">
        <v>2019</v>
      </c>
      <c r="C28" s="34">
        <v>108.5</v>
      </c>
      <c r="D28" s="34">
        <v>108.78</v>
      </c>
      <c r="E28" s="34">
        <v>109.04</v>
      </c>
      <c r="F28" s="34">
        <v>108.98</v>
      </c>
      <c r="G28" s="34">
        <v>108.89</v>
      </c>
      <c r="H28" s="34">
        <v>109.02</v>
      </c>
      <c r="I28" s="34">
        <v>109.07</v>
      </c>
      <c r="J28" s="34">
        <v>109.07</v>
      </c>
      <c r="K28" s="34">
        <v>108.58</v>
      </c>
      <c r="L28" s="34">
        <v>108.98</v>
      </c>
      <c r="M28" s="34">
        <v>109</v>
      </c>
      <c r="N28" s="34">
        <v>109.18</v>
      </c>
      <c r="O28" s="83">
        <f>IF(OR(COUNT(TIndexcijfers[[#This Row],[1]:[12]])=12,COUNT(TIndexcijfers[[#This Row],[1]:[12]])=0),0,TIndexcijfers[[#This Row],[base 2013]])</f>
        <v>0</v>
      </c>
      <c r="P28" s="83">
        <f>IF(COUNT(TIndexcijfers[[#This Row],[1]:[12]])=12,0,COUNT(TIndexcijfers[[#This Row],[1]:[12]]))</f>
        <v>0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</row>
    <row r="29" spans="2:32" x14ac:dyDescent="0.3">
      <c r="B29" s="82">
        <v>2020</v>
      </c>
      <c r="C29" s="34">
        <v>109.72</v>
      </c>
      <c r="D29" s="34">
        <v>109.87</v>
      </c>
      <c r="E29" s="34">
        <v>109.96</v>
      </c>
      <c r="F29" s="34">
        <v>110.22</v>
      </c>
      <c r="G29" s="34">
        <v>110.1</v>
      </c>
      <c r="H29" s="34">
        <v>110.05</v>
      </c>
      <c r="I29" s="34">
        <v>110.16</v>
      </c>
      <c r="J29" s="34">
        <v>110.2</v>
      </c>
      <c r="K29" s="34">
        <v>109.78</v>
      </c>
      <c r="L29" s="94">
        <v>110.11</v>
      </c>
      <c r="M29" s="34">
        <v>109.91</v>
      </c>
      <c r="N29" s="34">
        <v>109.88</v>
      </c>
      <c r="O29" s="83">
        <f>IF(OR(COUNT(TIndexcijfers[[#This Row],[1]:[12]])=12,COUNT(TIndexcijfers[[#This Row],[1]:[12]])=0),0,TIndexcijfers[[#This Row],[base 2013]])</f>
        <v>0</v>
      </c>
      <c r="P29" s="83">
        <f>IF(COUNT(TIndexcijfers[[#This Row],[1]:[12]])=12,0,COUNT(TIndexcijfers[[#This Row],[1]:[12]]))</f>
        <v>0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2:32" x14ac:dyDescent="0.3">
      <c r="B30" s="82">
        <v>2021</v>
      </c>
      <c r="C30" s="34">
        <v>110.35</v>
      </c>
      <c r="D30" s="34">
        <v>110.39</v>
      </c>
      <c r="E30" s="34">
        <v>110.56</v>
      </c>
      <c r="F30" s="34">
        <v>110.93</v>
      </c>
      <c r="G30" s="34">
        <v>110.99</v>
      </c>
      <c r="H30" s="34">
        <v>111.31</v>
      </c>
      <c r="I30" s="34">
        <v>112.18</v>
      </c>
      <c r="J30" s="34">
        <v>112.74</v>
      </c>
      <c r="K30" s="95">
        <v>112.29</v>
      </c>
      <c r="L30" s="95">
        <v>113.94</v>
      </c>
      <c r="M30" s="95">
        <v>115.2</v>
      </c>
      <c r="N30" s="95">
        <v>115.6</v>
      </c>
      <c r="O30" s="83">
        <f>IF(OR(COUNT(TIndexcijfers[[#This Row],[1]:[12]])=12,COUNT(TIndexcijfers[[#This Row],[1]:[12]])=0),0,TIndexcijfers[[#This Row],[base 2013]])</f>
        <v>0</v>
      </c>
      <c r="P30" s="83">
        <f>IF(COUNT(TIndexcijfers[[#This Row],[1]:[12]])=12,0,COUNT(TIndexcijfers[[#This Row],[1]:[12]]))</f>
        <v>0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2:32" x14ac:dyDescent="0.3">
      <c r="B31" s="82">
        <v>2022</v>
      </c>
      <c r="C31" s="95">
        <v>118.21</v>
      </c>
      <c r="D31" s="95">
        <v>118.74</v>
      </c>
      <c r="E31" s="95">
        <v>119.05</v>
      </c>
      <c r="F31" s="95">
        <v>119.59</v>
      </c>
      <c r="G31" s="95">
        <v>120.25</v>
      </c>
      <c r="H31" s="95">
        <v>121.02</v>
      </c>
      <c r="I31" s="95">
        <v>122.35</v>
      </c>
      <c r="J31" s="95">
        <v>123.68</v>
      </c>
      <c r="K31" s="95">
        <v>124.92</v>
      </c>
      <c r="L31" s="95">
        <v>127.92</v>
      </c>
      <c r="M31" s="95">
        <v>127.44</v>
      </c>
      <c r="N31" s="95">
        <v>127.89</v>
      </c>
      <c r="O31" s="83">
        <f>IF(OR(COUNT(TIndexcijfers[[#This Row],[1]:[12]])=12,COUNT(TIndexcijfers[[#This Row],[1]:[12]])=0),0,TIndexcijfers[[#This Row],[base 2013]])</f>
        <v>0</v>
      </c>
      <c r="P31" s="83">
        <f>IF(COUNT(TIndexcijfers[[#This Row],[1]:[12]])=12,0,COUNT(TIndexcijfers[[#This Row],[1]:[12]]))</f>
        <v>0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</row>
    <row r="32" spans="2:32" x14ac:dyDescent="0.3">
      <c r="B32" s="82">
        <v>2023</v>
      </c>
      <c r="C32" s="95">
        <v>128</v>
      </c>
      <c r="D32" s="95">
        <v>126.86</v>
      </c>
      <c r="E32" s="95">
        <v>127.8</v>
      </c>
      <c r="F32" s="95">
        <v>126.7</v>
      </c>
      <c r="G32" s="95">
        <v>127.35</v>
      </c>
      <c r="H32" s="95">
        <v>127.09</v>
      </c>
      <c r="I32" s="95">
        <v>128.22</v>
      </c>
      <c r="J32" s="95">
        <v>128.82</v>
      </c>
      <c r="K32" s="95">
        <v>127.52</v>
      </c>
      <c r="L32" s="34">
        <v>128.30000000000001</v>
      </c>
      <c r="M32" s="34">
        <v>128.55000000000001</v>
      </c>
      <c r="N32" s="34">
        <v>129.53</v>
      </c>
      <c r="O32" s="83">
        <f>IF(OR(COUNT(TIndexcijfers[[#This Row],[1]:[12]])=12,COUNT(TIndexcijfers[[#This Row],[1]:[12]])=0),0,TIndexcijfers[[#This Row],[base 2013]])</f>
        <v>0</v>
      </c>
      <c r="P32" s="83">
        <f>IF(COUNT(TIndexcijfers[[#This Row],[1]:[12]])=12,0,COUNT(TIndexcijfers[[#This Row],[1]:[12]]))</f>
        <v>0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</row>
    <row r="33" spans="2:32" x14ac:dyDescent="0.3">
      <c r="B33" s="82">
        <v>2024</v>
      </c>
      <c r="C33" s="34">
        <v>130.19</v>
      </c>
      <c r="D33" s="34">
        <v>130.94999999999999</v>
      </c>
      <c r="E33" s="34">
        <v>131.75</v>
      </c>
      <c r="F33" s="34">
        <v>130.85</v>
      </c>
      <c r="G33" s="34">
        <v>131.41999999999999</v>
      </c>
      <c r="H33" s="34">
        <v>131.91999999999999</v>
      </c>
      <c r="I33" s="34">
        <v>132.84</v>
      </c>
      <c r="J33" s="34">
        <v>132.94</v>
      </c>
      <c r="K33" s="34">
        <v>132.41</v>
      </c>
      <c r="L33" s="34">
        <v>132.96</v>
      </c>
      <c r="M33" s="34">
        <v>133.22</v>
      </c>
      <c r="N33" s="34">
        <v>133.72999999999999</v>
      </c>
      <c r="O33" s="83">
        <f>IF(OR(COUNT(TIndexcijfers[[#This Row],[1]:[12]])=12,COUNT(TIndexcijfers[[#This Row],[1]:[12]])=0),0,TIndexcijfers[[#This Row],[base 2013]])</f>
        <v>0</v>
      </c>
      <c r="P33" s="83">
        <f>IF(COUNT(TIndexcijfers[[#This Row],[1]:[12]])=12,0,COUNT(TIndexcijfers[[#This Row],[1]:[12]]))</f>
        <v>0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</row>
    <row r="34" spans="2:32" x14ac:dyDescent="0.3">
      <c r="B34" s="82">
        <v>2025</v>
      </c>
      <c r="C34" s="34">
        <v>135.52000000000001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83">
        <f>IF(OR(COUNT(TIndexcijfers[[#This Row],[1]:[12]])=12,COUNT(TIndexcijfers[[#This Row],[1]:[12]])=0),0,TIndexcijfers[[#This Row],[base 2013]])</f>
        <v>2025</v>
      </c>
      <c r="P34" s="83">
        <f>IF(COUNT(TIndexcijfers[[#This Row],[1]:[12]])=12,0,COUNT(TIndexcijfers[[#This Row],[1]:[12]]))</f>
        <v>1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2:32" x14ac:dyDescent="0.3">
      <c r="B35" s="82">
        <v>2026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83">
        <f>IF(OR(COUNT(TIndexcijfers[[#This Row],[1]:[12]])=12,COUNT(TIndexcijfers[[#This Row],[1]:[12]])=0),0,TIndexcijfers[[#This Row],[base 2013]])</f>
        <v>0</v>
      </c>
      <c r="P35" s="83">
        <f>IF(COUNT(TIndexcijfers[[#This Row],[1]:[12]])=12,0,COUNT(TIndexcijfers[[#This Row],[1]:[12]]))</f>
        <v>0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  <row r="36" spans="2:32" x14ac:dyDescent="0.3">
      <c r="B36" s="82">
        <v>2027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83">
        <f>IF(OR(COUNT(TIndexcijfers[[#This Row],[1]:[12]])=12,COUNT(TIndexcijfers[[#This Row],[1]:[12]])=0),0,TIndexcijfers[[#This Row],[base 2013]])</f>
        <v>0</v>
      </c>
      <c r="P36" s="83">
        <f>IF(COUNT(TIndexcijfers[[#This Row],[1]:[12]])=12,0,COUNT(TIndexcijfers[[#This Row],[1]:[12]]))</f>
        <v>0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2:32" x14ac:dyDescent="0.3">
      <c r="B37" s="82">
        <v>2028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83">
        <f>IF(OR(COUNT(TIndexcijfers[[#This Row],[1]:[12]])=12,COUNT(TIndexcijfers[[#This Row],[1]:[12]])=0),0,TIndexcijfers[[#This Row],[base 2013]])</f>
        <v>0</v>
      </c>
      <c r="P37" s="83">
        <f>IF(COUNT(TIndexcijfers[[#This Row],[1]:[12]])=12,0,COUNT(TIndexcijfers[[#This Row],[1]:[12]]))</f>
        <v>0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</row>
    <row r="38" spans="2:32" x14ac:dyDescent="0.3">
      <c r="B38" s="82">
        <v>2029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83">
        <f>IF(OR(COUNT(TIndexcijfers[[#This Row],[1]:[12]])=12,COUNT(TIndexcijfers[[#This Row],[1]:[12]])=0),0,TIndexcijfers[[#This Row],[base 2013]])</f>
        <v>0</v>
      </c>
      <c r="P38" s="83">
        <f>IF(COUNT(TIndexcijfers[[#This Row],[1]:[12]])=12,0,COUNT(TIndexcijfers[[#This Row],[1]:[12]]))</f>
        <v>0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</row>
    <row r="39" spans="2:32" x14ac:dyDescent="0.3">
      <c r="B39" s="82">
        <v>2030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83">
        <f>IF(OR(COUNT(TIndexcijfers[[#This Row],[1]:[12]])=12,COUNT(TIndexcijfers[[#This Row],[1]:[12]])=0),0,TIndexcijfers[[#This Row],[base 2013]])</f>
        <v>0</v>
      </c>
      <c r="P39" s="83">
        <f>IF(COUNT(TIndexcijfers[[#This Row],[1]:[12]])=12,0,COUNT(TIndexcijfers[[#This Row],[1]:[12]]))</f>
        <v>0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2:32" ht="8.6999999999999993" customHeight="1" x14ac:dyDescent="0.3"/>
  </sheetData>
  <sheetProtection algorithmName="SHA-512" hashValue="SPkwnkqjK1rYQbBcmP4LhFifGeq56yC0PkflyyAr/MHpWCcaUr18At94LDq28Fl1Evh+++QT2h+Fipl8nSHAoQ==" saltValue="O/edFPULKz6lPNMP/+Iafw==" spinCount="100000" sheet="1" selectLockedCells="1" selectUnlockedCells="1"/>
  <phoneticPr fontId="5" type="noConversion"/>
  <pageMargins left="0.7" right="0.7" top="0.75" bottom="0.75" header="0.3" footer="0.3"/>
  <pageSetup paperSize="8" orientation="landscape" horizontalDpi="300" verticalDpi="300" r:id="rId1"/>
  <ignoredErrors>
    <ignoredError sqref="V3:V15 W3:W1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8E670B74509448F0075A26E68BF14" ma:contentTypeVersion="16" ma:contentTypeDescription="Crée un document." ma:contentTypeScope="" ma:versionID="397a509b5de28d9f6ab508bd782751dc">
  <xsd:schema xmlns:xsd="http://www.w3.org/2001/XMLSchema" xmlns:xs="http://www.w3.org/2001/XMLSchema" xmlns:p="http://schemas.microsoft.com/office/2006/metadata/properties" xmlns:ns3="4af2257e-6530-4366-a0e3-1a0aeaa30679" xmlns:ns4="246ba203-5812-4354-963f-0c206d0e186a" targetNamespace="http://schemas.microsoft.com/office/2006/metadata/properties" ma:root="true" ma:fieldsID="d6a63407b1bb9721889d5ef661dca1cd" ns3:_="" ns4:_="">
    <xsd:import namespace="4af2257e-6530-4366-a0e3-1a0aeaa30679"/>
    <xsd:import namespace="246ba203-5812-4354-963f-0c206d0e18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2257e-6530-4366-a0e3-1a0aeaa306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ba203-5812-4354-963f-0c206d0e186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af2257e-6530-4366-a0e3-1a0aeaa30679" xsi:nil="true"/>
  </documentManagement>
</p:properties>
</file>

<file path=customXml/itemProps1.xml><?xml version="1.0" encoding="utf-8"?>
<ds:datastoreItem xmlns:ds="http://schemas.openxmlformats.org/officeDocument/2006/customXml" ds:itemID="{DEFA737E-6A6F-46DF-A5E9-B6031CD5A5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E49625-A47D-40F6-8030-95A6C46B4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2257e-6530-4366-a0e3-1a0aeaa30679"/>
    <ds:schemaRef ds:uri="246ba203-5812-4354-963f-0c206d0e1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4E5CED-A84D-46D5-9099-990E85306FC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af2257e-6530-4366-a0e3-1a0aeaa30679"/>
    <ds:schemaRef ds:uri="http://schemas.microsoft.com/office/2006/documentManagement/types"/>
    <ds:schemaRef ds:uri="http://schemas.microsoft.com/office/infopath/2007/PartnerControls"/>
    <ds:schemaRef ds:uri="246ba203-5812-4354-963f-0c206d0e186a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3e9f03cd-0512-46dc-b0d4-bb48fa70fcf2}" enabled="0" method="" siteId="{3e9f03cd-0512-46dc-b0d4-bb48fa70fc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129</vt:i4>
      </vt:variant>
    </vt:vector>
  </HeadingPairs>
  <TitlesOfParts>
    <vt:vector size="133" baseType="lpstr">
      <vt:lpstr>Index</vt:lpstr>
      <vt:lpstr>000</vt:lpstr>
      <vt:lpstr>Taal</vt:lpstr>
      <vt:lpstr>indices</vt:lpstr>
      <vt:lpstr>Basishuurprijs</vt:lpstr>
      <vt:lpstr>Basisindex</vt:lpstr>
      <vt:lpstr>Codecorrectie</vt:lpstr>
      <vt:lpstr>Contractdatum</vt:lpstr>
      <vt:lpstr>Correctiefactor</vt:lpstr>
      <vt:lpstr>CorrectiefactorUsed</vt:lpstr>
      <vt:lpstr>Energieklasse</vt:lpstr>
      <vt:lpstr>Energieklasse2</vt:lpstr>
      <vt:lpstr>EPBDat1</vt:lpstr>
      <vt:lpstr>EPBDatOnbekend</vt:lpstr>
      <vt:lpstr>EPBDatum</vt:lpstr>
      <vt:lpstr>EPBVoorgelegd</vt:lpstr>
      <vt:lpstr>FN</vt:lpstr>
      <vt:lpstr>GeenIndexatie</vt:lpstr>
      <vt:lpstr>Index001</vt:lpstr>
      <vt:lpstr>Index002</vt:lpstr>
      <vt:lpstr>Index003</vt:lpstr>
      <vt:lpstr>Index004</vt:lpstr>
      <vt:lpstr>Index005</vt:lpstr>
      <vt:lpstr>Index006</vt:lpstr>
      <vt:lpstr>Index007</vt:lpstr>
      <vt:lpstr>Index008</vt:lpstr>
      <vt:lpstr>Index009</vt:lpstr>
      <vt:lpstr>Index010</vt:lpstr>
      <vt:lpstr>Index011</vt:lpstr>
      <vt:lpstr>Index012</vt:lpstr>
      <vt:lpstr>Index013</vt:lpstr>
      <vt:lpstr>Index014</vt:lpstr>
      <vt:lpstr>Index015</vt:lpstr>
      <vt:lpstr>Index016</vt:lpstr>
      <vt:lpstr>Index017</vt:lpstr>
      <vt:lpstr>Index018</vt:lpstr>
      <vt:lpstr>Index019</vt:lpstr>
      <vt:lpstr>Index020</vt:lpstr>
      <vt:lpstr>Index021</vt:lpstr>
      <vt:lpstr>Index022</vt:lpstr>
      <vt:lpstr>Index023</vt:lpstr>
      <vt:lpstr>Index024</vt:lpstr>
      <vt:lpstr>Index025</vt:lpstr>
      <vt:lpstr>Index026</vt:lpstr>
      <vt:lpstr>Index027</vt:lpstr>
      <vt:lpstr>Index028</vt:lpstr>
      <vt:lpstr>Index029</vt:lpstr>
      <vt:lpstr>Index030</vt:lpstr>
      <vt:lpstr>Index031</vt:lpstr>
      <vt:lpstr>Index032</vt:lpstr>
      <vt:lpstr>Index033</vt:lpstr>
      <vt:lpstr>Index034</vt:lpstr>
      <vt:lpstr>Index035</vt:lpstr>
      <vt:lpstr>Index036</vt:lpstr>
      <vt:lpstr>Index037</vt:lpstr>
      <vt:lpstr>Index038</vt:lpstr>
      <vt:lpstr>Index039</vt:lpstr>
      <vt:lpstr>Index040</vt:lpstr>
      <vt:lpstr>Index041</vt:lpstr>
      <vt:lpstr>Index042</vt:lpstr>
      <vt:lpstr>Index043</vt:lpstr>
      <vt:lpstr>Index044</vt:lpstr>
      <vt:lpstr>Index045</vt:lpstr>
      <vt:lpstr>Index046</vt:lpstr>
      <vt:lpstr>Index047</vt:lpstr>
      <vt:lpstr>Index048</vt:lpstr>
      <vt:lpstr>Index049</vt:lpstr>
      <vt:lpstr>Index050</vt:lpstr>
      <vt:lpstr>Index051</vt:lpstr>
      <vt:lpstr>Index052</vt:lpstr>
      <vt:lpstr>Index053</vt:lpstr>
      <vt:lpstr>Index054</vt:lpstr>
      <vt:lpstr>Index055</vt:lpstr>
      <vt:lpstr>Index056</vt:lpstr>
      <vt:lpstr>Index057</vt:lpstr>
      <vt:lpstr>Index059</vt:lpstr>
      <vt:lpstr>Index060</vt:lpstr>
      <vt:lpstr>Index061</vt:lpstr>
      <vt:lpstr>Index062</vt:lpstr>
      <vt:lpstr>Index063</vt:lpstr>
      <vt:lpstr>Index064</vt:lpstr>
      <vt:lpstr>Index066</vt:lpstr>
      <vt:lpstr>Index067</vt:lpstr>
      <vt:lpstr>Index068</vt:lpstr>
      <vt:lpstr>Index069</vt:lpstr>
      <vt:lpstr>Index070</vt:lpstr>
      <vt:lpstr>Index071</vt:lpstr>
      <vt:lpstr>Index074</vt:lpstr>
      <vt:lpstr>Index075</vt:lpstr>
      <vt:lpstr>Index076</vt:lpstr>
      <vt:lpstr>Index077</vt:lpstr>
      <vt:lpstr>Index078</vt:lpstr>
      <vt:lpstr>Index202109</vt:lpstr>
      <vt:lpstr>Index202110</vt:lpstr>
      <vt:lpstr>Index202111</vt:lpstr>
      <vt:lpstr>Index202112</vt:lpstr>
      <vt:lpstr>Index202201</vt:lpstr>
      <vt:lpstr>Index202202</vt:lpstr>
      <vt:lpstr>Index202203</vt:lpstr>
      <vt:lpstr>Index202204</vt:lpstr>
      <vt:lpstr>Index202205</vt:lpstr>
      <vt:lpstr>Index202206</vt:lpstr>
      <vt:lpstr>Index202207</vt:lpstr>
      <vt:lpstr>Index202208</vt:lpstr>
      <vt:lpstr>Index202209</vt:lpstr>
      <vt:lpstr>Index202210</vt:lpstr>
      <vt:lpstr>Index202211</vt:lpstr>
      <vt:lpstr>Index202212</vt:lpstr>
      <vt:lpstr>Index202301</vt:lpstr>
      <vt:lpstr>Index202302</vt:lpstr>
      <vt:lpstr>Index202303</vt:lpstr>
      <vt:lpstr>Index202304</vt:lpstr>
      <vt:lpstr>Index202305</vt:lpstr>
      <vt:lpstr>Index202306</vt:lpstr>
      <vt:lpstr>Index202307</vt:lpstr>
      <vt:lpstr>Index202308</vt:lpstr>
      <vt:lpstr>Index202309</vt:lpstr>
      <vt:lpstr>MondelingeOvereenkomst</vt:lpstr>
      <vt:lpstr>NietGeregistreerd</vt:lpstr>
      <vt:lpstr>NieuweIndex</vt:lpstr>
      <vt:lpstr>'000'!Print_Area</vt:lpstr>
      <vt:lpstr>Index!Print_Area</vt:lpstr>
      <vt:lpstr>indices!Print_Area</vt:lpstr>
      <vt:lpstr>Taal!Print_Area</vt:lpstr>
      <vt:lpstr>RecenteIndex</vt:lpstr>
      <vt:lpstr>RegDat1</vt:lpstr>
      <vt:lpstr>RegDatOnbekend</vt:lpstr>
      <vt:lpstr>Registratiedatum</vt:lpstr>
      <vt:lpstr>SignDat</vt:lpstr>
      <vt:lpstr>SignDatOnbekend</vt:lpstr>
      <vt:lpstr>StartCorrectie</vt:lpstr>
      <vt:lpstr>Startdatum</vt:lpstr>
      <vt:lpstr>StartIndexstop</vt:lpstr>
    </vt:vector>
  </TitlesOfParts>
  <Company>SPRB 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VERHAEGHE Peter</dc:creator>
  <cp:lastModifiedBy>BRANLE David</cp:lastModifiedBy>
  <cp:lastPrinted>2023-10-13T14:52:58Z</cp:lastPrinted>
  <dcterms:created xsi:type="dcterms:W3CDTF">2022-01-27T12:15:08Z</dcterms:created>
  <dcterms:modified xsi:type="dcterms:W3CDTF">2025-01-31T08:27:45Z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0x0101003AF8E670B74509448F0075A26E68BF14</vt:lpwstr>
  </property>
</Properties>
</file>